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lexander Schmidt\a\PRIVAT\ALEX\PARTEI\PHO\Date-Tabellen\S-G-Registrierung\Model\Auto-Kalkulator\"/>
    </mc:Choice>
  </mc:AlternateContent>
  <xr:revisionPtr revIDLastSave="0" documentId="13_ncr:1_{E9264222-5E36-4BCD-9A20-57E9B41AAD22}" xr6:coauthVersionLast="36" xr6:coauthVersionMax="36" xr10:uidLastSave="{00000000-0000-0000-0000-000000000000}"/>
  <bookViews>
    <workbookView xWindow="0" yWindow="0" windowWidth="19200" windowHeight="8250" xr2:uid="{6BB25465-01BC-4751-894C-3A141CCD2207}"/>
  </bookViews>
  <sheets>
    <sheet name="Tabelle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73" i="1" s="1"/>
  <c r="G72" i="1"/>
  <c r="G71" i="1"/>
  <c r="H71" i="1"/>
  <c r="G70" i="1" l="1"/>
  <c r="E32" i="1"/>
  <c r="E58" i="1" l="1"/>
  <c r="AP235" i="1" l="1"/>
  <c r="AO235" i="1"/>
  <c r="AO234" i="1"/>
  <c r="AO233" i="1"/>
  <c r="AP232" i="1"/>
  <c r="AO232" i="1"/>
  <c r="AP231" i="1"/>
  <c r="AO231" i="1"/>
  <c r="AO230" i="1"/>
  <c r="AO229" i="1"/>
  <c r="AP228" i="1"/>
  <c r="AO228" i="1"/>
  <c r="AP227" i="1"/>
  <c r="AO227" i="1"/>
  <c r="AO226" i="1"/>
  <c r="AO225" i="1"/>
  <c r="AP224" i="1"/>
  <c r="AO224" i="1"/>
  <c r="AP223" i="1"/>
  <c r="AO223" i="1"/>
  <c r="AO222" i="1"/>
  <c r="AO221" i="1"/>
  <c r="AP220" i="1"/>
  <c r="AO220" i="1"/>
  <c r="AP219" i="1"/>
  <c r="AO219" i="1"/>
  <c r="AO218" i="1"/>
  <c r="AO217" i="1"/>
  <c r="AP216" i="1"/>
  <c r="AO216" i="1"/>
  <c r="AP215" i="1"/>
  <c r="AO215" i="1"/>
  <c r="AO214" i="1"/>
  <c r="AO213" i="1"/>
  <c r="AP212" i="1"/>
  <c r="AO212" i="1"/>
  <c r="AP211" i="1"/>
  <c r="AO211" i="1"/>
  <c r="AO210" i="1"/>
  <c r="AO209" i="1"/>
  <c r="AP208" i="1"/>
  <c r="AO208" i="1"/>
  <c r="AP207" i="1"/>
  <c r="AO207" i="1"/>
  <c r="AO206" i="1"/>
  <c r="AO205" i="1"/>
  <c r="AP204" i="1"/>
  <c r="AO204" i="1"/>
  <c r="AP203" i="1"/>
  <c r="AO203" i="1"/>
  <c r="AO202" i="1"/>
  <c r="AO201" i="1"/>
  <c r="AP200" i="1"/>
  <c r="AO200" i="1"/>
  <c r="AP199" i="1"/>
  <c r="AO199" i="1"/>
  <c r="AO198" i="1"/>
  <c r="AO197" i="1"/>
  <c r="AP196" i="1"/>
  <c r="AO196" i="1"/>
  <c r="AP195" i="1"/>
  <c r="AO195" i="1"/>
  <c r="AO194" i="1"/>
  <c r="AO193" i="1"/>
  <c r="AP192" i="1"/>
  <c r="AO192" i="1"/>
  <c r="AP191" i="1"/>
  <c r="AO191" i="1"/>
  <c r="AO190" i="1"/>
  <c r="AO189" i="1"/>
  <c r="AP188" i="1"/>
  <c r="AO188" i="1"/>
  <c r="AP187" i="1"/>
  <c r="AO187" i="1"/>
  <c r="AO186" i="1"/>
  <c r="AO185" i="1"/>
  <c r="AP184" i="1"/>
  <c r="AO184" i="1"/>
  <c r="AP183" i="1"/>
  <c r="AO183" i="1"/>
  <c r="AO182" i="1"/>
  <c r="AO181" i="1"/>
  <c r="AP180" i="1"/>
  <c r="AO180" i="1"/>
  <c r="AP179" i="1"/>
  <c r="AO179" i="1"/>
  <c r="AO178" i="1"/>
  <c r="AO177" i="1"/>
  <c r="AP176" i="1"/>
  <c r="AO176" i="1"/>
  <c r="AP175" i="1"/>
  <c r="AO175" i="1"/>
  <c r="AO174" i="1"/>
  <c r="AO173" i="1"/>
  <c r="AP172" i="1"/>
  <c r="AO172" i="1"/>
  <c r="AP171" i="1"/>
  <c r="AO171" i="1"/>
  <c r="AO170" i="1"/>
  <c r="AO169" i="1"/>
  <c r="AP168" i="1"/>
  <c r="AO168" i="1"/>
  <c r="AP167" i="1"/>
  <c r="AO167" i="1"/>
  <c r="AO166" i="1"/>
  <c r="AO165" i="1"/>
  <c r="AP164" i="1"/>
  <c r="AO164" i="1"/>
  <c r="AP163" i="1"/>
  <c r="AO163" i="1"/>
  <c r="AO162" i="1"/>
  <c r="AO161" i="1"/>
  <c r="AP160" i="1"/>
  <c r="AO160" i="1"/>
  <c r="AP159" i="1"/>
  <c r="AO159" i="1"/>
  <c r="AO158" i="1"/>
  <c r="AO157" i="1"/>
  <c r="AP156" i="1"/>
  <c r="AO156" i="1"/>
  <c r="AP155" i="1"/>
  <c r="AO155" i="1"/>
  <c r="AO154" i="1"/>
  <c r="AO153" i="1"/>
  <c r="AP152" i="1"/>
  <c r="AO152" i="1"/>
  <c r="AP151" i="1"/>
  <c r="AO151" i="1"/>
  <c r="AO150" i="1"/>
  <c r="AO149" i="1"/>
  <c r="AP148" i="1"/>
  <c r="AO148" i="1"/>
  <c r="AP147" i="1"/>
  <c r="AO147" i="1"/>
  <c r="AO146" i="1"/>
  <c r="AO145" i="1"/>
  <c r="AP144" i="1"/>
  <c r="AO144" i="1"/>
  <c r="AP143" i="1"/>
  <c r="AO143" i="1"/>
  <c r="AO142" i="1"/>
  <c r="AO141" i="1"/>
  <c r="AP140" i="1"/>
  <c r="AO140" i="1"/>
  <c r="AP139" i="1"/>
  <c r="AO139" i="1"/>
  <c r="AO138" i="1"/>
  <c r="AO137" i="1"/>
  <c r="AP136" i="1"/>
  <c r="AO136" i="1"/>
  <c r="AP135" i="1"/>
  <c r="AO135" i="1"/>
  <c r="AO134" i="1"/>
  <c r="AO133" i="1"/>
  <c r="AP132" i="1"/>
  <c r="AO132" i="1"/>
  <c r="AP131" i="1"/>
  <c r="AO131" i="1"/>
  <c r="AO130" i="1"/>
  <c r="AO129" i="1"/>
  <c r="AP128" i="1"/>
  <c r="AO128" i="1"/>
  <c r="AP127" i="1"/>
  <c r="AO127" i="1"/>
  <c r="AO126" i="1"/>
  <c r="AO125" i="1"/>
  <c r="AP124" i="1"/>
  <c r="AO124" i="1"/>
  <c r="AP123" i="1"/>
  <c r="AO123" i="1"/>
  <c r="AO122" i="1"/>
  <c r="AO121" i="1"/>
  <c r="AP120" i="1"/>
  <c r="AO120" i="1"/>
  <c r="AP119" i="1"/>
  <c r="AO119" i="1"/>
  <c r="AO118" i="1"/>
  <c r="AO117" i="1"/>
  <c r="AP116" i="1"/>
  <c r="AO116" i="1"/>
  <c r="AP115" i="1"/>
  <c r="AO115" i="1"/>
  <c r="AO114" i="1"/>
  <c r="AO113" i="1"/>
  <c r="AP112" i="1"/>
  <c r="AO112" i="1"/>
  <c r="AP111" i="1"/>
  <c r="AO111" i="1"/>
  <c r="AO110" i="1"/>
  <c r="AO109" i="1"/>
  <c r="AP108" i="1"/>
  <c r="AO108" i="1"/>
  <c r="AP107" i="1"/>
  <c r="AO107" i="1"/>
  <c r="AO106" i="1"/>
  <c r="AO105" i="1"/>
  <c r="AP104" i="1"/>
  <c r="AO104" i="1"/>
  <c r="AP103" i="1"/>
  <c r="AO103" i="1"/>
  <c r="AO102" i="1"/>
  <c r="AO101" i="1"/>
  <c r="AP100" i="1"/>
  <c r="AO100" i="1"/>
  <c r="AP99" i="1"/>
  <c r="AO99" i="1"/>
  <c r="AO98" i="1"/>
  <c r="AO97" i="1"/>
  <c r="AP96" i="1"/>
  <c r="AO96" i="1"/>
  <c r="AP95" i="1"/>
  <c r="AO95" i="1"/>
  <c r="AO94" i="1"/>
  <c r="AO93" i="1"/>
  <c r="AP92" i="1"/>
  <c r="AO92" i="1"/>
  <c r="AP91" i="1"/>
  <c r="AO91" i="1"/>
  <c r="AO90" i="1"/>
  <c r="AO89" i="1"/>
  <c r="AP88" i="1"/>
  <c r="AO88" i="1"/>
  <c r="AP87" i="1"/>
  <c r="AO87" i="1"/>
  <c r="AO86" i="1"/>
  <c r="AO85" i="1"/>
  <c r="AP84" i="1"/>
  <c r="AO84" i="1"/>
  <c r="AP83" i="1"/>
  <c r="AO83" i="1"/>
  <c r="AO82" i="1"/>
  <c r="AO81" i="1"/>
  <c r="AP80" i="1"/>
  <c r="AO80" i="1"/>
  <c r="AP79" i="1"/>
  <c r="AO79" i="1"/>
  <c r="AO78" i="1"/>
  <c r="AO77" i="1"/>
  <c r="AP76" i="1"/>
  <c r="AO76" i="1"/>
  <c r="AP75" i="1"/>
  <c r="AO75" i="1"/>
  <c r="AO74" i="1"/>
  <c r="AO73" i="1"/>
  <c r="AP72" i="1"/>
  <c r="AO72" i="1"/>
  <c r="AP71" i="1"/>
  <c r="AO71" i="1"/>
  <c r="AO70" i="1"/>
  <c r="AO69" i="1"/>
  <c r="AP68" i="1"/>
  <c r="AO68" i="1"/>
  <c r="AP67" i="1"/>
  <c r="AO67" i="1"/>
  <c r="AO66" i="1"/>
  <c r="AO65" i="1"/>
  <c r="AP64" i="1"/>
  <c r="AO64" i="1"/>
  <c r="AP63" i="1"/>
  <c r="AO63" i="1"/>
  <c r="AO62" i="1"/>
  <c r="AO61" i="1"/>
  <c r="AP60" i="1"/>
  <c r="AO60" i="1"/>
  <c r="AP59" i="1"/>
  <c r="AO59" i="1"/>
  <c r="AO58" i="1"/>
  <c r="AO57" i="1"/>
  <c r="AP56" i="1"/>
  <c r="AO56" i="1"/>
  <c r="AP55" i="1"/>
  <c r="AO55" i="1"/>
  <c r="AO54" i="1"/>
  <c r="AO53" i="1"/>
  <c r="AP52" i="1"/>
  <c r="AO52" i="1"/>
  <c r="AP51" i="1"/>
  <c r="AO51" i="1"/>
  <c r="AO50" i="1"/>
  <c r="AO49" i="1"/>
  <c r="AP48" i="1"/>
  <c r="AO48" i="1"/>
  <c r="AP47" i="1"/>
  <c r="AO47" i="1"/>
  <c r="AO46" i="1"/>
  <c r="AO45" i="1"/>
  <c r="AP44" i="1"/>
  <c r="AO44" i="1"/>
  <c r="AP43" i="1"/>
  <c r="AO43" i="1"/>
  <c r="AO42" i="1"/>
  <c r="AO41" i="1"/>
  <c r="AP40" i="1"/>
  <c r="AO40" i="1"/>
  <c r="AP39" i="1"/>
  <c r="AO39" i="1"/>
  <c r="AO38" i="1"/>
  <c r="AO37" i="1"/>
  <c r="AP36" i="1"/>
  <c r="AO36" i="1"/>
  <c r="AP35" i="1"/>
  <c r="AO35" i="1"/>
  <c r="AO34" i="1"/>
  <c r="AO33" i="1"/>
  <c r="AP32" i="1"/>
  <c r="AO32" i="1"/>
  <c r="AP31" i="1"/>
  <c r="AO31" i="1"/>
  <c r="AO30" i="1"/>
  <c r="AO29" i="1"/>
  <c r="AP28" i="1"/>
  <c r="AO28" i="1"/>
  <c r="AP27" i="1"/>
  <c r="AO27" i="1"/>
  <c r="AO26" i="1"/>
  <c r="AO25" i="1"/>
  <c r="AP24" i="1"/>
  <c r="AO24" i="1"/>
  <c r="AP23" i="1"/>
  <c r="AO23" i="1"/>
  <c r="AO22" i="1"/>
  <c r="AO21" i="1"/>
  <c r="AP20" i="1"/>
  <c r="AO20" i="1"/>
  <c r="AP19" i="1"/>
  <c r="AO19" i="1"/>
  <c r="AO18" i="1"/>
  <c r="AO17" i="1"/>
  <c r="AP16" i="1"/>
  <c r="AO16" i="1"/>
  <c r="AP15" i="1"/>
  <c r="AO15" i="1"/>
  <c r="AO14" i="1"/>
  <c r="AO13" i="1"/>
  <c r="AP12" i="1"/>
  <c r="AO12" i="1"/>
  <c r="AP11" i="1"/>
  <c r="AO11" i="1"/>
  <c r="AO10" i="1"/>
  <c r="AO9" i="1"/>
  <c r="AP8" i="1"/>
  <c r="AO8" i="1"/>
  <c r="AP7" i="1"/>
  <c r="AO7" i="1"/>
  <c r="AP6" i="1"/>
  <c r="AP234" i="1" s="1"/>
  <c r="AP9" i="1" l="1"/>
  <c r="AP13" i="1"/>
  <c r="AP17" i="1"/>
  <c r="AP21" i="1"/>
  <c r="AP25" i="1"/>
  <c r="AP29" i="1"/>
  <c r="AP33" i="1"/>
  <c r="AP37" i="1"/>
  <c r="AP41" i="1"/>
  <c r="AP45" i="1"/>
  <c r="AP49" i="1"/>
  <c r="AP53" i="1"/>
  <c r="AP57" i="1"/>
  <c r="AP61" i="1"/>
  <c r="AP65" i="1"/>
  <c r="AP69" i="1"/>
  <c r="AP73" i="1"/>
  <c r="AP77" i="1"/>
  <c r="AP81" i="1"/>
  <c r="AP85" i="1"/>
  <c r="AP89" i="1"/>
  <c r="AP93" i="1"/>
  <c r="AP97" i="1"/>
  <c r="AP101" i="1"/>
  <c r="AP105" i="1"/>
  <c r="AP109" i="1"/>
  <c r="AP113" i="1"/>
  <c r="AP117" i="1"/>
  <c r="AP121" i="1"/>
  <c r="AP125" i="1"/>
  <c r="AP129" i="1"/>
  <c r="AP133" i="1"/>
  <c r="AP137" i="1"/>
  <c r="AP141" i="1"/>
  <c r="AP145" i="1"/>
  <c r="AP149" i="1"/>
  <c r="AP153" i="1"/>
  <c r="AP157" i="1"/>
  <c r="AP161" i="1"/>
  <c r="AP165" i="1"/>
  <c r="AP169" i="1"/>
  <c r="AP173" i="1"/>
  <c r="AP177" i="1"/>
  <c r="AP181" i="1"/>
  <c r="AP185" i="1"/>
  <c r="AP189" i="1"/>
  <c r="AP193" i="1"/>
  <c r="AP197" i="1"/>
  <c r="AP201" i="1"/>
  <c r="AP205" i="1"/>
  <c r="AP209" i="1"/>
  <c r="AP213" i="1"/>
  <c r="AP217" i="1"/>
  <c r="AP221" i="1"/>
  <c r="AP225" i="1"/>
  <c r="AP229" i="1"/>
  <c r="AP233" i="1"/>
  <c r="AP10" i="1"/>
  <c r="AP14" i="1"/>
  <c r="AP18" i="1"/>
  <c r="AP22" i="1"/>
  <c r="AP26" i="1"/>
  <c r="AP30" i="1"/>
  <c r="AP34" i="1"/>
  <c r="AP38" i="1"/>
  <c r="AP42" i="1"/>
  <c r="AP46" i="1"/>
  <c r="AP50" i="1"/>
  <c r="AP54" i="1"/>
  <c r="AP58" i="1"/>
  <c r="AP62" i="1"/>
  <c r="AP66" i="1"/>
  <c r="AP70" i="1"/>
  <c r="AP74" i="1"/>
  <c r="AP78" i="1"/>
  <c r="AP82" i="1"/>
  <c r="AP86" i="1"/>
  <c r="AP90" i="1"/>
  <c r="AP94" i="1"/>
  <c r="AP98" i="1"/>
  <c r="AP102" i="1"/>
  <c r="AP106" i="1"/>
  <c r="AP110" i="1"/>
  <c r="AP114" i="1"/>
  <c r="AP118" i="1"/>
  <c r="AP122" i="1"/>
  <c r="AP126" i="1"/>
  <c r="AP130" i="1"/>
  <c r="AP134" i="1"/>
  <c r="AP138" i="1"/>
  <c r="AP142" i="1"/>
  <c r="AP146" i="1"/>
  <c r="AP150" i="1"/>
  <c r="AP154" i="1"/>
  <c r="AP158" i="1"/>
  <c r="AP162" i="1"/>
  <c r="AP166" i="1"/>
  <c r="AP170" i="1"/>
  <c r="AP174" i="1"/>
  <c r="AP178" i="1"/>
  <c r="AP182" i="1"/>
  <c r="AP186" i="1"/>
  <c r="AP190" i="1"/>
  <c r="AP194" i="1"/>
  <c r="AP198" i="1"/>
  <c r="AP202" i="1"/>
  <c r="AP206" i="1"/>
  <c r="AP210" i="1"/>
  <c r="AP214" i="1"/>
  <c r="AP218" i="1"/>
  <c r="AP222" i="1"/>
  <c r="AP226" i="1"/>
  <c r="AP230" i="1"/>
  <c r="E25" i="1" l="1"/>
  <c r="E23" i="1" l="1"/>
  <c r="H22" i="1"/>
  <c r="G19" i="1"/>
  <c r="G20" i="1" s="1"/>
  <c r="G21" i="1" s="1"/>
  <c r="G22" i="1" s="1"/>
  <c r="H49" i="1" l="1"/>
  <c r="H48" i="1"/>
  <c r="D48" i="1"/>
  <c r="D47" i="1"/>
  <c r="H46" i="1"/>
  <c r="G43" i="1"/>
  <c r="G46" i="1" s="1"/>
  <c r="G47" i="1" s="1"/>
  <c r="G48" i="1" s="1"/>
  <c r="G49" i="1" l="1"/>
  <c r="H27" i="1"/>
  <c r="F24" i="1"/>
  <c r="C19" i="1"/>
  <c r="C24" i="1" s="1"/>
  <c r="G18" i="1"/>
  <c r="F18" i="1"/>
  <c r="C18" i="1"/>
  <c r="E19" i="1" l="1"/>
  <c r="H23" i="1"/>
  <c r="H32" i="1"/>
  <c r="G40" i="1" s="1"/>
  <c r="H40" i="1" s="1"/>
  <c r="H47" i="1"/>
  <c r="H24" i="1"/>
  <c r="H18" i="1"/>
  <c r="F17" i="1"/>
  <c r="G24" i="1"/>
  <c r="G23" i="1" s="1"/>
  <c r="H25" i="1"/>
  <c r="H17" i="1"/>
  <c r="F25" i="1"/>
  <c r="AI224" i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00" i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176" i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52" i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29" i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28" i="1"/>
  <c r="AI104" i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80" i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56" i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33" i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32" i="1"/>
  <c r="AI8" i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F19" i="1" l="1"/>
  <c r="E22" i="1"/>
  <c r="F22" i="1" s="1"/>
  <c r="E21" i="1"/>
  <c r="E31" i="1"/>
  <c r="G26" i="1"/>
  <c r="G25" i="1"/>
  <c r="G30" i="1" s="1"/>
  <c r="AG19" i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8" i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F8" i="1"/>
  <c r="AF9" i="1" s="1"/>
  <c r="AN7" i="1"/>
  <c r="AM6" i="1"/>
  <c r="AM7" i="1" s="1"/>
  <c r="E3" i="1"/>
  <c r="F21" i="1" l="1"/>
  <c r="H21" i="1"/>
  <c r="E20" i="1"/>
  <c r="E34" i="1"/>
  <c r="F34" i="1" s="1"/>
  <c r="E28" i="1"/>
  <c r="E37" i="1"/>
  <c r="H31" i="1"/>
  <c r="E45" i="1"/>
  <c r="F31" i="1"/>
  <c r="E40" i="1"/>
  <c r="G37" i="1"/>
  <c r="G39" i="1" s="1"/>
  <c r="G31" i="1"/>
  <c r="G44" i="1"/>
  <c r="E26" i="1"/>
  <c r="F26" i="1" s="1"/>
  <c r="E29" i="1"/>
  <c r="F29" i="1" s="1"/>
  <c r="E27" i="1"/>
  <c r="F27" i="1" s="1"/>
  <c r="G27" i="1"/>
  <c r="G28" i="1" s="1"/>
  <c r="G29" i="1"/>
  <c r="AF10" i="1"/>
  <c r="AG31" i="1"/>
  <c r="E63" i="1"/>
  <c r="C58" i="1"/>
  <c r="H20" i="1" l="1"/>
  <c r="F20" i="1"/>
  <c r="E36" i="1"/>
  <c r="H36" i="1" s="1"/>
  <c r="E39" i="1"/>
  <c r="H39" i="1" s="1"/>
  <c r="G45" i="1"/>
  <c r="G34" i="1"/>
  <c r="G36" i="1" s="1"/>
  <c r="H45" i="1"/>
  <c r="F45" i="1"/>
  <c r="E47" i="1"/>
  <c r="F47" i="1" s="1"/>
  <c r="E49" i="1"/>
  <c r="F49" i="1" s="1"/>
  <c r="F37" i="1"/>
  <c r="E38" i="1"/>
  <c r="E46" i="1"/>
  <c r="F46" i="1" s="1"/>
  <c r="H41" i="1"/>
  <c r="F40" i="1"/>
  <c r="AF11" i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H3" i="1"/>
  <c r="E57" i="1" s="1"/>
  <c r="G3" i="1"/>
  <c r="AG32" i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/>
  <c r="F61" i="1"/>
  <c r="F36" i="1" l="1"/>
  <c r="F39" i="1"/>
  <c r="E48" i="1"/>
  <c r="F48" i="1" s="1"/>
  <c r="H38" i="1"/>
  <c r="AG44" i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/>
  <c r="AG67" i="1" l="1"/>
  <c r="AG56" i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N57" i="1"/>
  <c r="G63" i="1"/>
  <c r="L58" i="1"/>
  <c r="L66" i="1" s="1"/>
  <c r="O7" i="1"/>
  <c r="L57" i="1"/>
  <c r="E67" i="1"/>
  <c r="G67" i="1" s="1"/>
  <c r="E66" i="1"/>
  <c r="G66" i="1" s="1"/>
  <c r="E65" i="1"/>
  <c r="G65" i="1" s="1"/>
  <c r="E64" i="1"/>
  <c r="G64" i="1" s="1"/>
  <c r="C59" i="1"/>
  <c r="C60" i="1" s="1"/>
  <c r="C61" i="1" s="1"/>
  <c r="C62" i="1" s="1"/>
  <c r="C63" i="1" s="1"/>
  <c r="C64" i="1" s="1"/>
  <c r="C65" i="1" s="1"/>
  <c r="C66" i="1" s="1"/>
  <c r="C67" i="1" s="1"/>
  <c r="AG79" i="1" l="1"/>
  <c r="AG68" i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L63" i="1"/>
  <c r="N63" i="1" s="1"/>
  <c r="L62" i="1"/>
  <c r="L60" i="1"/>
  <c r="N66" i="1"/>
  <c r="M57" i="1"/>
  <c r="N62" i="1"/>
  <c r="F57" i="1"/>
  <c r="L64" i="1"/>
  <c r="N64" i="1" s="1"/>
  <c r="L67" i="1"/>
  <c r="N67" i="1" s="1"/>
  <c r="N58" i="1"/>
  <c r="L65" i="1"/>
  <c r="N65" i="1" s="1"/>
  <c r="AG91" i="1" l="1"/>
  <c r="AG80" i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N68" i="1"/>
  <c r="AG103" i="1" l="1"/>
  <c r="AG92" i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K8" i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P6" i="1" s="1"/>
  <c r="P8" i="1" s="1"/>
  <c r="P9" i="1" l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O25" i="1" s="1"/>
  <c r="AN8" i="1"/>
  <c r="AN6" i="1"/>
  <c r="AG115" i="1"/>
  <c r="AG104" i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O8" i="1"/>
  <c r="O15" i="1" l="1"/>
  <c r="O22" i="1"/>
  <c r="O11" i="1"/>
  <c r="O23" i="1"/>
  <c r="O16" i="1"/>
  <c r="O13" i="1"/>
  <c r="O9" i="1"/>
  <c r="O19" i="1"/>
  <c r="O12" i="1"/>
  <c r="O17" i="1"/>
  <c r="O20" i="1"/>
  <c r="O24" i="1"/>
  <c r="O10" i="1"/>
  <c r="O21" i="1"/>
  <c r="O18" i="1"/>
  <c r="O14" i="1"/>
  <c r="AN9" i="1"/>
  <c r="AM8" i="1"/>
  <c r="AG116" i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/>
  <c r="AM9" i="1" l="1"/>
  <c r="AN10" i="1"/>
  <c r="AG139" i="1"/>
  <c r="AG128" i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L6" i="1"/>
  <c r="M6" i="1" l="1"/>
  <c r="N6" i="1" s="1"/>
  <c r="AJ6" i="1"/>
  <c r="AK6" i="1" s="1"/>
  <c r="AL6" i="1" s="1"/>
  <c r="AN11" i="1"/>
  <c r="AM10" i="1"/>
  <c r="AG151" i="1"/>
  <c r="AG140" i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M11" i="1" l="1"/>
  <c r="AN12" i="1"/>
  <c r="AG152" i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/>
  <c r="E61" i="1"/>
  <c r="G61" i="1" s="1"/>
  <c r="AN13" i="1" l="1"/>
  <c r="AM12" i="1"/>
  <c r="AG175" i="1"/>
  <c r="AG164" i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N14" i="1" l="1"/>
  <c r="AM13" i="1"/>
  <c r="AG176" i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/>
  <c r="AN15" i="1" l="1"/>
  <c r="AM14" i="1"/>
  <c r="AG199" i="1"/>
  <c r="AG188" i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N16" i="1" l="1"/>
  <c r="AM15" i="1"/>
  <c r="AG200" i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/>
  <c r="AN17" i="1" l="1"/>
  <c r="AM16" i="1"/>
  <c r="AG223" i="1"/>
  <c r="AG212" i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N18" i="1" l="1"/>
  <c r="AM17" i="1"/>
  <c r="AG224" i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M18" i="1" l="1"/>
  <c r="AN19" i="1"/>
  <c r="AN20" i="1" l="1"/>
  <c r="AM19" i="1"/>
  <c r="AM20" i="1" l="1"/>
  <c r="AN21" i="1"/>
  <c r="AN22" i="1" l="1"/>
  <c r="AM21" i="1"/>
  <c r="AN23" i="1" l="1"/>
  <c r="AM22" i="1"/>
  <c r="AM23" i="1" l="1"/>
  <c r="AN24" i="1"/>
  <c r="AN25" i="1" l="1"/>
  <c r="AM24" i="1"/>
  <c r="AN26" i="1" l="1"/>
  <c r="AM25" i="1"/>
  <c r="AM26" i="1" l="1"/>
  <c r="AN27" i="1"/>
  <c r="AM27" i="1" l="1"/>
  <c r="AN28" i="1"/>
  <c r="AN29" i="1" l="1"/>
  <c r="AM28" i="1"/>
  <c r="AN30" i="1" l="1"/>
  <c r="AM29" i="1"/>
  <c r="N70" i="1"/>
  <c r="AM30" i="1" l="1"/>
  <c r="AN31" i="1"/>
  <c r="AN32" i="1" l="1"/>
  <c r="AM31" i="1"/>
  <c r="AN33" i="1" l="1"/>
  <c r="AM32" i="1"/>
  <c r="AN34" i="1" l="1"/>
  <c r="AM33" i="1"/>
  <c r="AM34" i="1" l="1"/>
  <c r="AN35" i="1"/>
  <c r="AM35" i="1" l="1"/>
  <c r="AN36" i="1"/>
  <c r="AM36" i="1" l="1"/>
  <c r="AN37" i="1"/>
  <c r="AM37" i="1" l="1"/>
  <c r="AN38" i="1"/>
  <c r="AN39" i="1" l="1"/>
  <c r="AM38" i="1"/>
  <c r="AM39" i="1" l="1"/>
  <c r="AN40" i="1"/>
  <c r="AN41" i="1" l="1"/>
  <c r="AM40" i="1"/>
  <c r="AN42" i="1" l="1"/>
  <c r="AM41" i="1"/>
  <c r="AN43" i="1" l="1"/>
  <c r="AM42" i="1"/>
  <c r="AM43" i="1" l="1"/>
  <c r="AN44" i="1"/>
  <c r="AN45" i="1" l="1"/>
  <c r="AM44" i="1"/>
  <c r="AN46" i="1" l="1"/>
  <c r="AM45" i="1"/>
  <c r="AN47" i="1" l="1"/>
  <c r="AM46" i="1"/>
  <c r="AN48" i="1" l="1"/>
  <c r="AM47" i="1"/>
  <c r="AN49" i="1" l="1"/>
  <c r="AM48" i="1"/>
  <c r="AN50" i="1" l="1"/>
  <c r="AM49" i="1"/>
  <c r="AM50" i="1" l="1"/>
  <c r="AN51" i="1"/>
  <c r="AN52" i="1" l="1"/>
  <c r="AM51" i="1"/>
  <c r="AM52" i="1" l="1"/>
  <c r="AN53" i="1"/>
  <c r="AN54" i="1" l="1"/>
  <c r="AM53" i="1"/>
  <c r="AN55" i="1" l="1"/>
  <c r="AM54" i="1"/>
  <c r="AM55" i="1" l="1"/>
  <c r="AN56" i="1"/>
  <c r="AN57" i="1" l="1"/>
  <c r="AM56" i="1"/>
  <c r="AN58" i="1" l="1"/>
  <c r="AM57" i="1"/>
  <c r="AN59" i="1" l="1"/>
  <c r="AM58" i="1"/>
  <c r="AN60" i="1" l="1"/>
  <c r="AM59" i="1"/>
  <c r="AM60" i="1" l="1"/>
  <c r="AN61" i="1"/>
  <c r="AN62" i="1" l="1"/>
  <c r="AM61" i="1"/>
  <c r="AM62" i="1" l="1"/>
  <c r="AN63" i="1"/>
  <c r="AN64" i="1" l="1"/>
  <c r="AM63" i="1"/>
  <c r="AN65" i="1" l="1"/>
  <c r="AM64" i="1"/>
  <c r="AM65" i="1" l="1"/>
  <c r="AN66" i="1"/>
  <c r="AM66" i="1" l="1"/>
  <c r="AN67" i="1"/>
  <c r="AM67" i="1" l="1"/>
  <c r="AN68" i="1"/>
  <c r="AN69" i="1" l="1"/>
  <c r="AM68" i="1"/>
  <c r="AN70" i="1" l="1"/>
  <c r="AM69" i="1"/>
  <c r="AN71" i="1" l="1"/>
  <c r="AM70" i="1"/>
  <c r="AN72" i="1" l="1"/>
  <c r="AM71" i="1"/>
  <c r="AN73" i="1" l="1"/>
  <c r="AM72" i="1"/>
  <c r="AN74" i="1" l="1"/>
  <c r="AM73" i="1"/>
  <c r="AN75" i="1" l="1"/>
  <c r="AM74" i="1"/>
  <c r="AM75" i="1" l="1"/>
  <c r="AN76" i="1"/>
  <c r="AM76" i="1" l="1"/>
  <c r="AN77" i="1"/>
  <c r="AN78" i="1" l="1"/>
  <c r="AM77" i="1"/>
  <c r="AN79" i="1" l="1"/>
  <c r="AM78" i="1"/>
  <c r="AM79" i="1" l="1"/>
  <c r="AN80" i="1"/>
  <c r="AN81" i="1" l="1"/>
  <c r="AM80" i="1"/>
  <c r="AM81" i="1" l="1"/>
  <c r="AN82" i="1"/>
  <c r="AN83" i="1" l="1"/>
  <c r="AM82" i="1"/>
  <c r="AN84" i="1" l="1"/>
  <c r="AM83" i="1"/>
  <c r="AN85" i="1" l="1"/>
  <c r="AM84" i="1"/>
  <c r="AN86" i="1" l="1"/>
  <c r="AM85" i="1"/>
  <c r="AN87" i="1" l="1"/>
  <c r="AM86" i="1"/>
  <c r="AN88" i="1" l="1"/>
  <c r="AM87" i="1"/>
  <c r="AN89" i="1" l="1"/>
  <c r="AM88" i="1"/>
  <c r="AN90" i="1" l="1"/>
  <c r="AM89" i="1"/>
  <c r="AM90" i="1" l="1"/>
  <c r="AN91" i="1"/>
  <c r="AN92" i="1" l="1"/>
  <c r="AM91" i="1"/>
  <c r="AM92" i="1" l="1"/>
  <c r="AN93" i="1"/>
  <c r="AN94" i="1" l="1"/>
  <c r="AM93" i="1"/>
  <c r="AM94" i="1" l="1"/>
  <c r="AN95" i="1"/>
  <c r="AN96" i="1" l="1"/>
  <c r="AM95" i="1"/>
  <c r="AM96" i="1" l="1"/>
  <c r="AN97" i="1"/>
  <c r="AN98" i="1" l="1"/>
  <c r="AM97" i="1"/>
  <c r="AN99" i="1" l="1"/>
  <c r="AM98" i="1"/>
  <c r="AN100" i="1" l="1"/>
  <c r="AM99" i="1"/>
  <c r="AN101" i="1" l="1"/>
  <c r="AM100" i="1"/>
  <c r="AN102" i="1" l="1"/>
  <c r="AM101" i="1"/>
  <c r="AN103" i="1" l="1"/>
  <c r="AM102" i="1"/>
  <c r="AN104" i="1" l="1"/>
  <c r="AM103" i="1"/>
  <c r="AM104" i="1" l="1"/>
  <c r="AN105" i="1"/>
  <c r="AN106" i="1" l="1"/>
  <c r="AM105" i="1"/>
  <c r="AM106" i="1" l="1"/>
  <c r="AN107" i="1"/>
  <c r="AM107" i="1" l="1"/>
  <c r="AN108" i="1"/>
  <c r="AM108" i="1" l="1"/>
  <c r="AN109" i="1"/>
  <c r="AN110" i="1" l="1"/>
  <c r="AM109" i="1"/>
  <c r="AN111" i="1" l="1"/>
  <c r="AM110" i="1"/>
  <c r="AN112" i="1" l="1"/>
  <c r="AM111" i="1"/>
  <c r="AM112" i="1" l="1"/>
  <c r="AN113" i="1"/>
  <c r="AM113" i="1" l="1"/>
  <c r="AN114" i="1"/>
  <c r="AN115" i="1" l="1"/>
  <c r="AM114" i="1"/>
  <c r="AN116" i="1" l="1"/>
  <c r="AM115" i="1"/>
  <c r="AM116" i="1" l="1"/>
  <c r="AN117" i="1"/>
  <c r="AM117" i="1" l="1"/>
  <c r="AN118" i="1"/>
  <c r="AN119" i="1" l="1"/>
  <c r="AM118" i="1"/>
  <c r="AN120" i="1" l="1"/>
  <c r="AM119" i="1"/>
  <c r="AN121" i="1" l="1"/>
  <c r="AM120" i="1"/>
  <c r="AN122" i="1" l="1"/>
  <c r="AM121" i="1"/>
  <c r="AM122" i="1" l="1"/>
  <c r="AN123" i="1"/>
  <c r="AN124" i="1" l="1"/>
  <c r="AM123" i="1"/>
  <c r="AM124" i="1" l="1"/>
  <c r="AN125" i="1"/>
  <c r="AN126" i="1" l="1"/>
  <c r="AM125" i="1"/>
  <c r="AM126" i="1" l="1"/>
  <c r="AN127" i="1"/>
  <c r="AN128" i="1" l="1"/>
  <c r="AM127" i="1"/>
  <c r="AM128" i="1" l="1"/>
  <c r="AN129" i="1"/>
  <c r="AN130" i="1" l="1"/>
  <c r="AM129" i="1"/>
  <c r="AN131" i="1" l="1"/>
  <c r="AM130" i="1"/>
  <c r="AM131" i="1" l="1"/>
  <c r="AN132" i="1"/>
  <c r="AN133" i="1" l="1"/>
  <c r="AM132" i="1"/>
  <c r="AM133" i="1" l="1"/>
  <c r="AN134" i="1"/>
  <c r="AN135" i="1" l="1"/>
  <c r="AM134" i="1"/>
  <c r="AN136" i="1" l="1"/>
  <c r="AM135" i="1"/>
  <c r="AN137" i="1" l="1"/>
  <c r="AM136" i="1"/>
  <c r="AN138" i="1" l="1"/>
  <c r="AM137" i="1"/>
  <c r="AN139" i="1" l="1"/>
  <c r="AM138" i="1"/>
  <c r="AM139" i="1" l="1"/>
  <c r="AN140" i="1"/>
  <c r="AM140" i="1" l="1"/>
  <c r="AN141" i="1"/>
  <c r="AM141" i="1" l="1"/>
  <c r="AN142" i="1"/>
  <c r="AN143" i="1" l="1"/>
  <c r="AM142" i="1"/>
  <c r="AM143" i="1" l="1"/>
  <c r="AN144" i="1"/>
  <c r="AM144" i="1" l="1"/>
  <c r="AN145" i="1"/>
  <c r="AN146" i="1" l="1"/>
  <c r="AM145" i="1"/>
  <c r="AM146" i="1" l="1"/>
  <c r="AN147" i="1"/>
  <c r="AN148" i="1" l="1"/>
  <c r="AM147" i="1"/>
  <c r="AN149" i="1" l="1"/>
  <c r="AM148" i="1"/>
  <c r="AN150" i="1" l="1"/>
  <c r="AM149" i="1"/>
  <c r="AM150" i="1" l="1"/>
  <c r="AN151" i="1"/>
  <c r="AN152" i="1" l="1"/>
  <c r="AM151" i="1"/>
  <c r="AN153" i="1" l="1"/>
  <c r="AM152" i="1"/>
  <c r="AM153" i="1" l="1"/>
  <c r="AN154" i="1"/>
  <c r="AN155" i="1" l="1"/>
  <c r="AM154" i="1"/>
  <c r="AN156" i="1" l="1"/>
  <c r="AM155" i="1"/>
  <c r="AN157" i="1" l="1"/>
  <c r="AM156" i="1"/>
  <c r="AN158" i="1" l="1"/>
  <c r="AM157" i="1"/>
  <c r="AN159" i="1" l="1"/>
  <c r="AM158" i="1"/>
  <c r="AM159" i="1" l="1"/>
  <c r="AN160" i="1"/>
  <c r="AN161" i="1" l="1"/>
  <c r="AM160" i="1"/>
  <c r="AN162" i="1" l="1"/>
  <c r="AM161" i="1"/>
  <c r="AN163" i="1" l="1"/>
  <c r="AM162" i="1"/>
  <c r="AN164" i="1" l="1"/>
  <c r="AM163" i="1"/>
  <c r="AN165" i="1" l="1"/>
  <c r="AM164" i="1"/>
  <c r="AN166" i="1" l="1"/>
  <c r="AM165" i="1"/>
  <c r="AM166" i="1" l="1"/>
  <c r="AN167" i="1"/>
  <c r="AN168" i="1" l="1"/>
  <c r="AM167" i="1"/>
  <c r="AN169" i="1" l="1"/>
  <c r="AM168" i="1"/>
  <c r="AM169" i="1" l="1"/>
  <c r="AN170" i="1"/>
  <c r="AM170" i="1" l="1"/>
  <c r="AN171" i="1"/>
  <c r="AN172" i="1" l="1"/>
  <c r="AM171" i="1"/>
  <c r="AN173" i="1" l="1"/>
  <c r="AM172" i="1"/>
  <c r="AN174" i="1" l="1"/>
  <c r="AM173" i="1"/>
  <c r="AN175" i="1" l="1"/>
  <c r="AM174" i="1"/>
  <c r="AN176" i="1" l="1"/>
  <c r="AM175" i="1"/>
  <c r="AN177" i="1" l="1"/>
  <c r="AM176" i="1"/>
  <c r="AN178" i="1" l="1"/>
  <c r="AM177" i="1"/>
  <c r="AN179" i="1" l="1"/>
  <c r="AM178" i="1"/>
  <c r="AN180" i="1" l="1"/>
  <c r="AM179" i="1"/>
  <c r="AN181" i="1" l="1"/>
  <c r="AM180" i="1"/>
  <c r="AM181" i="1" l="1"/>
  <c r="AN182" i="1"/>
  <c r="AM182" i="1" l="1"/>
  <c r="AN183" i="1"/>
  <c r="AN184" i="1" l="1"/>
  <c r="AM183" i="1"/>
  <c r="AN185" i="1" l="1"/>
  <c r="AM184" i="1"/>
  <c r="AM185" i="1" l="1"/>
  <c r="AN186" i="1"/>
  <c r="AM186" i="1" l="1"/>
  <c r="AN187" i="1"/>
  <c r="AN188" i="1" l="1"/>
  <c r="AM187" i="1"/>
  <c r="AN189" i="1" l="1"/>
  <c r="AM188" i="1"/>
  <c r="AM189" i="1" l="1"/>
  <c r="AN190" i="1"/>
  <c r="AN191" i="1" l="1"/>
  <c r="AM190" i="1"/>
  <c r="AM191" i="1" l="1"/>
  <c r="AN192" i="1"/>
  <c r="AN193" i="1" l="1"/>
  <c r="AM192" i="1"/>
  <c r="AN194" i="1" l="1"/>
  <c r="AM193" i="1"/>
  <c r="AN195" i="1" l="1"/>
  <c r="AM194" i="1"/>
  <c r="AN196" i="1" l="1"/>
  <c r="AM195" i="1"/>
  <c r="AN197" i="1" l="1"/>
  <c r="AM196" i="1"/>
  <c r="AN198" i="1" l="1"/>
  <c r="AM197" i="1"/>
  <c r="AM198" i="1" l="1"/>
  <c r="AN199" i="1"/>
  <c r="AN200" i="1" l="1"/>
  <c r="AM199" i="1"/>
  <c r="AN201" i="1" l="1"/>
  <c r="AM200" i="1"/>
  <c r="AN202" i="1" l="1"/>
  <c r="AM201" i="1"/>
  <c r="AM202" i="1" l="1"/>
  <c r="AN203" i="1"/>
  <c r="AN204" i="1" l="1"/>
  <c r="AM203" i="1"/>
  <c r="AN205" i="1" l="1"/>
  <c r="AM204" i="1"/>
  <c r="AN206" i="1" l="1"/>
  <c r="AM205" i="1"/>
  <c r="AN207" i="1" l="1"/>
  <c r="AM206" i="1"/>
  <c r="AM207" i="1" l="1"/>
  <c r="AN208" i="1"/>
  <c r="AN209" i="1" l="1"/>
  <c r="AM208" i="1"/>
  <c r="AM209" i="1" l="1"/>
  <c r="AN210" i="1"/>
  <c r="AN211" i="1" l="1"/>
  <c r="AM210" i="1"/>
  <c r="AN212" i="1" l="1"/>
  <c r="AM211" i="1"/>
  <c r="AN213" i="1" l="1"/>
  <c r="AM212" i="1"/>
  <c r="AN214" i="1" l="1"/>
  <c r="AM213" i="1"/>
  <c r="AM214" i="1" l="1"/>
  <c r="AN215" i="1"/>
  <c r="AN216" i="1" l="1"/>
  <c r="AM215" i="1"/>
  <c r="AN217" i="1" l="1"/>
  <c r="AM216" i="1"/>
  <c r="AM217" i="1" l="1"/>
  <c r="AN218" i="1"/>
  <c r="AM218" i="1" l="1"/>
  <c r="AN219" i="1"/>
  <c r="AN220" i="1" l="1"/>
  <c r="AM219" i="1"/>
  <c r="AN221" i="1" l="1"/>
  <c r="AM220" i="1"/>
  <c r="AM221" i="1" l="1"/>
  <c r="AN222" i="1"/>
  <c r="AN223" i="1" l="1"/>
  <c r="AM222" i="1"/>
  <c r="AM223" i="1" l="1"/>
  <c r="AN224" i="1"/>
  <c r="AN225" i="1" l="1"/>
  <c r="AM224" i="1"/>
  <c r="AM225" i="1" l="1"/>
  <c r="AN226" i="1"/>
  <c r="AN227" i="1" l="1"/>
  <c r="AM226" i="1"/>
  <c r="AM227" i="1" l="1"/>
  <c r="AN228" i="1"/>
  <c r="AN229" i="1" l="1"/>
  <c r="AM228" i="1"/>
  <c r="AN230" i="1" l="1"/>
  <c r="AM229" i="1"/>
  <c r="AM230" i="1" l="1"/>
  <c r="AN231" i="1"/>
  <c r="AN232" i="1" l="1"/>
  <c r="AM231" i="1"/>
  <c r="AN233" i="1" l="1"/>
  <c r="AM232" i="1"/>
  <c r="AN234" i="1" l="1"/>
  <c r="AM233" i="1"/>
  <c r="AN235" i="1" l="1"/>
  <c r="AN236" i="1" s="1"/>
  <c r="AN237" i="1" s="1"/>
  <c r="AN238" i="1" s="1"/>
  <c r="AN239" i="1" s="1"/>
  <c r="AN240" i="1" s="1"/>
  <c r="AN241" i="1" s="1"/>
  <c r="AN242" i="1" s="1"/>
  <c r="AN243" i="1" s="1"/>
  <c r="AN244" i="1" s="1"/>
  <c r="AN245" i="1" s="1"/>
  <c r="AN246" i="1" s="1"/>
  <c r="AM234" i="1"/>
  <c r="AM235" i="1" l="1"/>
  <c r="E59" i="1" l="1"/>
  <c r="G59" i="1" s="1"/>
  <c r="G68" i="1" s="1"/>
  <c r="H68" i="1" s="1"/>
  <c r="K6" i="1"/>
  <c r="L7" i="1" s="1"/>
  <c r="H69" i="1" l="1"/>
  <c r="H66" i="1"/>
  <c r="H67" i="1"/>
  <c r="AG6" i="1"/>
  <c r="AJ7" i="1" s="1"/>
  <c r="N7" i="1"/>
  <c r="M7" i="1" s="1"/>
  <c r="AL7" i="1"/>
  <c r="H65" i="1" l="1"/>
  <c r="L8" i="1"/>
  <c r="N8" i="1" s="1"/>
  <c r="AK7" i="1"/>
  <c r="AJ19" i="1"/>
  <c r="AL19" i="1" s="1"/>
  <c r="AK19" i="1" s="1"/>
  <c r="M8" i="1"/>
  <c r="L9" i="1"/>
  <c r="N9" i="1" s="1"/>
  <c r="AL8" i="1" l="1"/>
  <c r="AK8" i="1" s="1"/>
  <c r="AJ31" i="1"/>
  <c r="AL31" i="1" s="1"/>
  <c r="AK31" i="1" s="1"/>
  <c r="AL20" i="1"/>
  <c r="AK20" i="1" s="1"/>
  <c r="M9" i="1"/>
  <c r="L10" i="1"/>
  <c r="N10" i="1" s="1"/>
  <c r="AJ20" i="1" l="1"/>
  <c r="AL21" i="1"/>
  <c r="AK21" i="1" s="1"/>
  <c r="AJ43" i="1"/>
  <c r="AL43" i="1" s="1"/>
  <c r="AK43" i="1" s="1"/>
  <c r="AL32" i="1"/>
  <c r="AK32" i="1" s="1"/>
  <c r="AJ8" i="1"/>
  <c r="AL9" i="1"/>
  <c r="AK9" i="1" s="1"/>
  <c r="M10" i="1"/>
  <c r="L11" i="1"/>
  <c r="N11" i="1" s="1"/>
  <c r="AJ55" i="1" l="1"/>
  <c r="AL55" i="1" s="1"/>
  <c r="AK55" i="1" s="1"/>
  <c r="AL44" i="1"/>
  <c r="AK44" i="1" s="1"/>
  <c r="AJ21" i="1"/>
  <c r="AL22" i="1"/>
  <c r="AK22" i="1" s="1"/>
  <c r="AJ32" i="1"/>
  <c r="AL33" i="1"/>
  <c r="AK33" i="1" s="1"/>
  <c r="AL10" i="1"/>
  <c r="AK10" i="1" s="1"/>
  <c r="AJ9" i="1"/>
  <c r="M11" i="1"/>
  <c r="L12" i="1"/>
  <c r="N12" i="1" s="1"/>
  <c r="AL23" i="1" l="1"/>
  <c r="AK23" i="1" s="1"/>
  <c r="AJ22" i="1"/>
  <c r="AJ33" i="1"/>
  <c r="AL34" i="1"/>
  <c r="AK34" i="1" s="1"/>
  <c r="AL11" i="1"/>
  <c r="AK11" i="1" s="1"/>
  <c r="AJ10" i="1"/>
  <c r="AL45" i="1"/>
  <c r="AK45" i="1" s="1"/>
  <c r="AJ44" i="1"/>
  <c r="AJ67" i="1"/>
  <c r="AL67" i="1" s="1"/>
  <c r="AK67" i="1" s="1"/>
  <c r="AL56" i="1"/>
  <c r="AK56" i="1" s="1"/>
  <c r="M12" i="1"/>
  <c r="L13" i="1"/>
  <c r="N13" i="1" s="1"/>
  <c r="E33" i="1" l="1"/>
  <c r="E35" i="1" s="1"/>
  <c r="F28" i="1"/>
  <c r="E30" i="1"/>
  <c r="E60" i="1"/>
  <c r="AL35" i="1"/>
  <c r="AK35" i="1" s="1"/>
  <c r="AJ34" i="1"/>
  <c r="AJ11" i="1"/>
  <c r="AL12" i="1"/>
  <c r="AK12" i="1" s="1"/>
  <c r="AL57" i="1"/>
  <c r="AK57" i="1" s="1"/>
  <c r="AJ56" i="1"/>
  <c r="AL68" i="1"/>
  <c r="AK68" i="1" s="1"/>
  <c r="AJ79" i="1"/>
  <c r="AL79" i="1" s="1"/>
  <c r="AK79" i="1" s="1"/>
  <c r="AL46" i="1"/>
  <c r="AK46" i="1" s="1"/>
  <c r="AJ45" i="1"/>
  <c r="AJ23" i="1"/>
  <c r="AL24" i="1"/>
  <c r="AK24" i="1" s="1"/>
  <c r="M13" i="1"/>
  <c r="L14" i="1"/>
  <c r="N14" i="1" s="1"/>
  <c r="H33" i="1" l="1"/>
  <c r="H35" i="1" s="1"/>
  <c r="E44" i="1"/>
  <c r="H30" i="1"/>
  <c r="F30" i="1"/>
  <c r="AL58" i="1"/>
  <c r="AK58" i="1" s="1"/>
  <c r="AJ57" i="1"/>
  <c r="AL13" i="1"/>
  <c r="AK13" i="1" s="1"/>
  <c r="AJ12" i="1"/>
  <c r="AJ46" i="1"/>
  <c r="AL47" i="1"/>
  <c r="AK47" i="1" s="1"/>
  <c r="AJ68" i="1"/>
  <c r="AL69" i="1"/>
  <c r="AK69" i="1" s="1"/>
  <c r="AJ91" i="1"/>
  <c r="AL91" i="1" s="1"/>
  <c r="AK91" i="1" s="1"/>
  <c r="AL80" i="1"/>
  <c r="AK80" i="1" s="1"/>
  <c r="AL36" i="1"/>
  <c r="AK36" i="1" s="1"/>
  <c r="AJ35" i="1"/>
  <c r="AJ24" i="1"/>
  <c r="AL25" i="1"/>
  <c r="AK25" i="1" s="1"/>
  <c r="M14" i="1"/>
  <c r="L15" i="1"/>
  <c r="N15" i="1" s="1"/>
  <c r="M72" i="1" l="1"/>
  <c r="N72" i="1"/>
  <c r="E43" i="1"/>
  <c r="H44" i="1"/>
  <c r="F44" i="1"/>
  <c r="AL70" i="1"/>
  <c r="AK70" i="1" s="1"/>
  <c r="AJ69" i="1"/>
  <c r="AJ36" i="1"/>
  <c r="AL37" i="1"/>
  <c r="AK37" i="1" s="1"/>
  <c r="AJ103" i="1"/>
  <c r="AL103" i="1" s="1"/>
  <c r="AK103" i="1" s="1"/>
  <c r="AL92" i="1"/>
  <c r="AK92" i="1" s="1"/>
  <c r="AJ25" i="1"/>
  <c r="AL26" i="1"/>
  <c r="AK26" i="1" s="1"/>
  <c r="AJ80" i="1"/>
  <c r="AL81" i="1"/>
  <c r="AK81" i="1" s="1"/>
  <c r="AJ13" i="1"/>
  <c r="AL14" i="1"/>
  <c r="AK14" i="1" s="1"/>
  <c r="AJ47" i="1"/>
  <c r="AL48" i="1"/>
  <c r="AK48" i="1" s="1"/>
  <c r="AL59" i="1"/>
  <c r="AK59" i="1" s="1"/>
  <c r="AJ58" i="1"/>
  <c r="M15" i="1"/>
  <c r="L16" i="1"/>
  <c r="N16" i="1" s="1"/>
  <c r="F43" i="1" l="1"/>
  <c r="H43" i="1"/>
  <c r="AL38" i="1"/>
  <c r="AK38" i="1" s="1"/>
  <c r="AJ37" i="1"/>
  <c r="AJ26" i="1"/>
  <c r="AL27" i="1"/>
  <c r="AK27" i="1" s="1"/>
  <c r="AL82" i="1"/>
  <c r="AK82" i="1" s="1"/>
  <c r="AJ81" i="1"/>
  <c r="AJ48" i="1"/>
  <c r="AL49" i="1"/>
  <c r="AK49" i="1" s="1"/>
  <c r="AL15" i="1"/>
  <c r="AK15" i="1" s="1"/>
  <c r="AJ14" i="1"/>
  <c r="AJ115" i="1"/>
  <c r="AL115" i="1" s="1"/>
  <c r="AK115" i="1" s="1"/>
  <c r="AL104" i="1"/>
  <c r="AK104" i="1" s="1"/>
  <c r="AJ59" i="1"/>
  <c r="AL60" i="1"/>
  <c r="AK60" i="1" s="1"/>
  <c r="AL93" i="1"/>
  <c r="AK93" i="1" s="1"/>
  <c r="AJ92" i="1"/>
  <c r="AJ70" i="1"/>
  <c r="AL71" i="1"/>
  <c r="AK71" i="1" s="1"/>
  <c r="M16" i="1"/>
  <c r="L17" i="1"/>
  <c r="N17" i="1" s="1"/>
  <c r="AL28" i="1" l="1"/>
  <c r="AK28" i="1" s="1"/>
  <c r="AJ27" i="1"/>
  <c r="AJ93" i="1"/>
  <c r="AL94" i="1"/>
  <c r="AK94" i="1" s="1"/>
  <c r="AJ60" i="1"/>
  <c r="AL61" i="1"/>
  <c r="AK61" i="1" s="1"/>
  <c r="AJ49" i="1"/>
  <c r="AL50" i="1"/>
  <c r="AK50" i="1" s="1"/>
  <c r="AJ71" i="1"/>
  <c r="AL72" i="1"/>
  <c r="AK72" i="1" s="1"/>
  <c r="AJ104" i="1"/>
  <c r="AL105" i="1"/>
  <c r="AK105" i="1" s="1"/>
  <c r="AJ38" i="1"/>
  <c r="AL39" i="1"/>
  <c r="AK39" i="1" s="1"/>
  <c r="AJ82" i="1"/>
  <c r="AL83" i="1"/>
  <c r="AK83" i="1" s="1"/>
  <c r="AL16" i="1"/>
  <c r="AK16" i="1" s="1"/>
  <c r="AJ15" i="1"/>
  <c r="AJ127" i="1"/>
  <c r="AL127" i="1" s="1"/>
  <c r="AK127" i="1" s="1"/>
  <c r="AL116" i="1"/>
  <c r="AK116" i="1" s="1"/>
  <c r="M17" i="1"/>
  <c r="L18" i="1"/>
  <c r="N18" i="1" s="1"/>
  <c r="AJ94" i="1" l="1"/>
  <c r="AL95" i="1"/>
  <c r="AK95" i="1" s="1"/>
  <c r="AL128" i="1"/>
  <c r="AK128" i="1" s="1"/>
  <c r="AJ139" i="1"/>
  <c r="AL139" i="1" s="1"/>
  <c r="AK139" i="1" s="1"/>
  <c r="AJ83" i="1"/>
  <c r="AL84" i="1"/>
  <c r="AK84" i="1" s="1"/>
  <c r="AL73" i="1"/>
  <c r="AK73" i="1" s="1"/>
  <c r="AJ72" i="1"/>
  <c r="AJ50" i="1"/>
  <c r="AL51" i="1"/>
  <c r="AK51" i="1" s="1"/>
  <c r="AJ39" i="1"/>
  <c r="AL40" i="1"/>
  <c r="AK40" i="1" s="1"/>
  <c r="AJ16" i="1"/>
  <c r="AL17" i="1"/>
  <c r="AK17" i="1" s="1"/>
  <c r="AJ105" i="1"/>
  <c r="AL106" i="1"/>
  <c r="AK106" i="1" s="1"/>
  <c r="AJ116" i="1"/>
  <c r="AL117" i="1"/>
  <c r="AK117" i="1" s="1"/>
  <c r="AJ61" i="1"/>
  <c r="AL62" i="1"/>
  <c r="AK62" i="1" s="1"/>
  <c r="AL29" i="1"/>
  <c r="AK29" i="1" s="1"/>
  <c r="AJ28" i="1"/>
  <c r="M18" i="1"/>
  <c r="L19" i="1"/>
  <c r="N19" i="1" s="1"/>
  <c r="AJ62" i="1" l="1"/>
  <c r="AL63" i="1"/>
  <c r="AK63" i="1" s="1"/>
  <c r="AL107" i="1"/>
  <c r="AK107" i="1" s="1"/>
  <c r="AJ106" i="1"/>
  <c r="AJ51" i="1"/>
  <c r="AL52" i="1"/>
  <c r="AK52" i="1" s="1"/>
  <c r="AL129" i="1"/>
  <c r="AK129" i="1" s="1"/>
  <c r="AJ128" i="1"/>
  <c r="AJ17" i="1"/>
  <c r="AL18" i="1"/>
  <c r="AK18" i="1" s="1"/>
  <c r="AJ117" i="1"/>
  <c r="AL118" i="1"/>
  <c r="AK118" i="1" s="1"/>
  <c r="AJ73" i="1"/>
  <c r="AL74" i="1"/>
  <c r="AK74" i="1" s="1"/>
  <c r="AL96" i="1"/>
  <c r="AK96" i="1" s="1"/>
  <c r="AJ95" i="1"/>
  <c r="AL30" i="1"/>
  <c r="AK30" i="1" s="1"/>
  <c r="AJ29" i="1"/>
  <c r="AL140" i="1"/>
  <c r="AK140" i="1" s="1"/>
  <c r="AJ151" i="1"/>
  <c r="AL151" i="1" s="1"/>
  <c r="AK151" i="1" s="1"/>
  <c r="AJ40" i="1"/>
  <c r="AL41" i="1"/>
  <c r="AK41" i="1" s="1"/>
  <c r="AL85" i="1"/>
  <c r="AK85" i="1" s="1"/>
  <c r="AJ84" i="1"/>
  <c r="M19" i="1"/>
  <c r="L20" i="1"/>
  <c r="N20" i="1" s="1"/>
  <c r="AJ18" i="1" l="1"/>
  <c r="AJ163" i="1"/>
  <c r="AL163" i="1" s="1"/>
  <c r="AK163" i="1" s="1"/>
  <c r="AL152" i="1"/>
  <c r="AK152" i="1" s="1"/>
  <c r="AL75" i="1"/>
  <c r="AK75" i="1" s="1"/>
  <c r="AJ74" i="1"/>
  <c r="AL64" i="1"/>
  <c r="AK64" i="1" s="1"/>
  <c r="AJ63" i="1"/>
  <c r="AL141" i="1"/>
  <c r="AK141" i="1" s="1"/>
  <c r="AJ140" i="1"/>
  <c r="AJ85" i="1"/>
  <c r="AL86" i="1"/>
  <c r="AK86" i="1" s="1"/>
  <c r="AJ118" i="1"/>
  <c r="AL119" i="1"/>
  <c r="AK119" i="1" s="1"/>
  <c r="AL130" i="1"/>
  <c r="AK130" i="1" s="1"/>
  <c r="AJ129" i="1"/>
  <c r="AJ96" i="1"/>
  <c r="AL97" i="1"/>
  <c r="AK97" i="1" s="1"/>
  <c r="AL108" i="1"/>
  <c r="AK108" i="1" s="1"/>
  <c r="AJ107" i="1"/>
  <c r="AL42" i="1"/>
  <c r="AK42" i="1" s="1"/>
  <c r="AJ41" i="1"/>
  <c r="AJ30" i="1"/>
  <c r="AJ52" i="1"/>
  <c r="AL53" i="1"/>
  <c r="AK53" i="1" s="1"/>
  <c r="M20" i="1"/>
  <c r="L21" i="1"/>
  <c r="N21" i="1" s="1"/>
  <c r="AL87" i="1" l="1"/>
  <c r="AK87" i="1" s="1"/>
  <c r="AJ86" i="1"/>
  <c r="AJ53" i="1"/>
  <c r="AL54" i="1"/>
  <c r="AK54" i="1" s="1"/>
  <c r="AJ130" i="1"/>
  <c r="AL131" i="1"/>
  <c r="AK131" i="1" s="1"/>
  <c r="AL153" i="1"/>
  <c r="AK153" i="1" s="1"/>
  <c r="AJ152" i="1"/>
  <c r="AL120" i="1"/>
  <c r="AK120" i="1" s="1"/>
  <c r="AJ119" i="1"/>
  <c r="AL164" i="1"/>
  <c r="AK164" i="1" s="1"/>
  <c r="AJ175" i="1"/>
  <c r="AL175" i="1" s="1"/>
  <c r="AK175" i="1" s="1"/>
  <c r="AJ42" i="1"/>
  <c r="AL76" i="1"/>
  <c r="AK76" i="1" s="1"/>
  <c r="AJ75" i="1"/>
  <c r="AL142" i="1"/>
  <c r="AK142" i="1" s="1"/>
  <c r="AJ141" i="1"/>
  <c r="AL109" i="1"/>
  <c r="AK109" i="1" s="1"/>
  <c r="AJ108" i="1"/>
  <c r="AJ97" i="1"/>
  <c r="AL98" i="1"/>
  <c r="AK98" i="1" s="1"/>
  <c r="AJ64" i="1"/>
  <c r="AL65" i="1"/>
  <c r="AK65" i="1" s="1"/>
  <c r="M21" i="1"/>
  <c r="L22" i="1"/>
  <c r="N22" i="1" s="1"/>
  <c r="AJ98" i="1" l="1"/>
  <c r="AL99" i="1"/>
  <c r="AK99" i="1" s="1"/>
  <c r="AL77" i="1"/>
  <c r="AK77" i="1" s="1"/>
  <c r="AJ76" i="1"/>
  <c r="AL121" i="1"/>
  <c r="AK121" i="1" s="1"/>
  <c r="AJ120" i="1"/>
  <c r="AJ54" i="1"/>
  <c r="AJ109" i="1"/>
  <c r="AL110" i="1"/>
  <c r="AK110" i="1" s="1"/>
  <c r="AJ142" i="1"/>
  <c r="AL143" i="1"/>
  <c r="AK143" i="1" s="1"/>
  <c r="AJ65" i="1"/>
  <c r="AL66" i="1"/>
  <c r="AK66" i="1" s="1"/>
  <c r="AL176" i="1"/>
  <c r="AK176" i="1" s="1"/>
  <c r="AJ187" i="1"/>
  <c r="AL187" i="1" s="1"/>
  <c r="AK187" i="1" s="1"/>
  <c r="AL154" i="1"/>
  <c r="AK154" i="1" s="1"/>
  <c r="AJ153" i="1"/>
  <c r="AL88" i="1"/>
  <c r="AK88" i="1" s="1"/>
  <c r="AJ87" i="1"/>
  <c r="AJ131" i="1"/>
  <c r="AL132" i="1"/>
  <c r="AK132" i="1" s="1"/>
  <c r="AL165" i="1"/>
  <c r="AK165" i="1" s="1"/>
  <c r="AJ164" i="1"/>
  <c r="M22" i="1"/>
  <c r="L23" i="1"/>
  <c r="N23" i="1" s="1"/>
  <c r="AL133" i="1" l="1"/>
  <c r="AK133" i="1" s="1"/>
  <c r="AJ132" i="1"/>
  <c r="AJ77" i="1"/>
  <c r="AL78" i="1"/>
  <c r="AK78" i="1" s="1"/>
  <c r="AJ143" i="1"/>
  <c r="AL144" i="1"/>
  <c r="AK144" i="1" s="1"/>
  <c r="AL122" i="1"/>
  <c r="AK122" i="1" s="1"/>
  <c r="AJ121" i="1"/>
  <c r="AJ110" i="1"/>
  <c r="AL111" i="1"/>
  <c r="AK111" i="1" s="1"/>
  <c r="AL89" i="1"/>
  <c r="AK89" i="1" s="1"/>
  <c r="AJ88" i="1"/>
  <c r="AJ66" i="1"/>
  <c r="AJ154" i="1"/>
  <c r="AL155" i="1"/>
  <c r="AK155" i="1" s="1"/>
  <c r="AJ165" i="1"/>
  <c r="AL166" i="1"/>
  <c r="AK166" i="1" s="1"/>
  <c r="AL100" i="1"/>
  <c r="AK100" i="1" s="1"/>
  <c r="AJ99" i="1"/>
  <c r="AJ199" i="1"/>
  <c r="AL199" i="1" s="1"/>
  <c r="AK199" i="1" s="1"/>
  <c r="AL188" i="1"/>
  <c r="AK188" i="1" s="1"/>
  <c r="AL177" i="1"/>
  <c r="AK177" i="1" s="1"/>
  <c r="AJ176" i="1"/>
  <c r="M23" i="1"/>
  <c r="L24" i="1"/>
  <c r="N24" i="1" s="1"/>
  <c r="AL112" i="1" l="1"/>
  <c r="AK112" i="1" s="1"/>
  <c r="AJ111" i="1"/>
  <c r="AL156" i="1"/>
  <c r="AK156" i="1" s="1"/>
  <c r="AJ155" i="1"/>
  <c r="AJ188" i="1"/>
  <c r="AL189" i="1"/>
  <c r="AK189" i="1" s="1"/>
  <c r="AL101" i="1"/>
  <c r="AK101" i="1" s="1"/>
  <c r="AJ100" i="1"/>
  <c r="AL90" i="1"/>
  <c r="AK90" i="1" s="1"/>
  <c r="AJ89" i="1"/>
  <c r="AJ211" i="1"/>
  <c r="AL211" i="1" s="1"/>
  <c r="AK211" i="1" s="1"/>
  <c r="AL200" i="1"/>
  <c r="AK200" i="1" s="1"/>
  <c r="AL123" i="1"/>
  <c r="AK123" i="1" s="1"/>
  <c r="AJ122" i="1"/>
  <c r="AJ133" i="1"/>
  <c r="AL134" i="1"/>
  <c r="AK134" i="1" s="1"/>
  <c r="AJ78" i="1"/>
  <c r="AL178" i="1"/>
  <c r="AK178" i="1" s="1"/>
  <c r="AJ177" i="1"/>
  <c r="AJ166" i="1"/>
  <c r="AL167" i="1"/>
  <c r="AK167" i="1" s="1"/>
  <c r="AL145" i="1"/>
  <c r="AK145" i="1" s="1"/>
  <c r="AJ144" i="1"/>
  <c r="M24" i="1"/>
  <c r="L25" i="1"/>
  <c r="N25" i="1" s="1"/>
  <c r="AJ90" i="1" l="1"/>
  <c r="AJ156" i="1"/>
  <c r="AL157" i="1"/>
  <c r="AK157" i="1" s="1"/>
  <c r="AL168" i="1"/>
  <c r="AK168" i="1" s="1"/>
  <c r="AJ167" i="1"/>
  <c r="AJ178" i="1"/>
  <c r="AL179" i="1"/>
  <c r="AK179" i="1" s="1"/>
  <c r="AL124" i="1"/>
  <c r="AK124" i="1" s="1"/>
  <c r="AJ123" i="1"/>
  <c r="AL212" i="1"/>
  <c r="AK212" i="1" s="1"/>
  <c r="AJ223" i="1"/>
  <c r="AL223" i="1" s="1"/>
  <c r="AK223" i="1" s="1"/>
  <c r="AL135" i="1"/>
  <c r="AK135" i="1" s="1"/>
  <c r="AJ134" i="1"/>
  <c r="AJ145" i="1"/>
  <c r="AL146" i="1"/>
  <c r="AK146" i="1" s="1"/>
  <c r="AJ200" i="1"/>
  <c r="AL201" i="1"/>
  <c r="AK201" i="1" s="1"/>
  <c r="AL102" i="1"/>
  <c r="AK102" i="1" s="1"/>
  <c r="AJ101" i="1"/>
  <c r="AL190" i="1"/>
  <c r="AK190" i="1" s="1"/>
  <c r="AJ189" i="1"/>
  <c r="AL113" i="1"/>
  <c r="AK113" i="1" s="1"/>
  <c r="AJ112" i="1"/>
  <c r="L26" i="1"/>
  <c r="N26" i="1" s="1"/>
  <c r="M25" i="1"/>
  <c r="AJ235" i="1" l="1"/>
  <c r="AL235" i="1" s="1"/>
  <c r="AL224" i="1"/>
  <c r="AK224" i="1" s="1"/>
  <c r="AL169" i="1"/>
  <c r="AK169" i="1" s="1"/>
  <c r="AJ168" i="1"/>
  <c r="AL213" i="1"/>
  <c r="AK213" i="1" s="1"/>
  <c r="AJ212" i="1"/>
  <c r="AJ157" i="1"/>
  <c r="AL158" i="1"/>
  <c r="AK158" i="1" s="1"/>
  <c r="AL125" i="1"/>
  <c r="AK125" i="1" s="1"/>
  <c r="AJ124" i="1"/>
  <c r="AJ179" i="1"/>
  <c r="AL180" i="1"/>
  <c r="AK180" i="1" s="1"/>
  <c r="AL191" i="1"/>
  <c r="AK191" i="1" s="1"/>
  <c r="AJ190" i="1"/>
  <c r="AL114" i="1"/>
  <c r="AK114" i="1" s="1"/>
  <c r="AJ113" i="1"/>
  <c r="AL202" i="1"/>
  <c r="AK202" i="1" s="1"/>
  <c r="AJ201" i="1"/>
  <c r="AJ135" i="1"/>
  <c r="AL136" i="1"/>
  <c r="AK136" i="1" s="1"/>
  <c r="AJ146" i="1"/>
  <c r="AL147" i="1"/>
  <c r="AK147" i="1" s="1"/>
  <c r="AJ102" i="1"/>
  <c r="AJ125" i="1" l="1"/>
  <c r="AL126" i="1"/>
  <c r="AK126" i="1" s="1"/>
  <c r="AJ114" i="1"/>
  <c r="AJ169" i="1"/>
  <c r="AL170" i="1"/>
  <c r="AK170" i="1" s="1"/>
  <c r="AL214" i="1"/>
  <c r="AK214" i="1" s="1"/>
  <c r="AJ213" i="1"/>
  <c r="AL159" i="1"/>
  <c r="AK159" i="1" s="1"/>
  <c r="AJ158" i="1"/>
  <c r="AL192" i="1"/>
  <c r="AK192" i="1" s="1"/>
  <c r="AJ191" i="1"/>
  <c r="AL225" i="1"/>
  <c r="AK225" i="1" s="1"/>
  <c r="AJ224" i="1"/>
  <c r="AJ180" i="1"/>
  <c r="AL181" i="1"/>
  <c r="AK181" i="1" s="1"/>
  <c r="AL137" i="1"/>
  <c r="AK137" i="1" s="1"/>
  <c r="AJ136" i="1"/>
  <c r="AJ147" i="1"/>
  <c r="AL148" i="1"/>
  <c r="AK148" i="1" s="1"/>
  <c r="AL203" i="1"/>
  <c r="AK203" i="1" s="1"/>
  <c r="AJ202" i="1"/>
  <c r="AL204" i="1" l="1"/>
  <c r="AK204" i="1" s="1"/>
  <c r="AJ203" i="1"/>
  <c r="AL193" i="1"/>
  <c r="AK193" i="1" s="1"/>
  <c r="AJ192" i="1"/>
  <c r="AJ126" i="1"/>
  <c r="AJ137" i="1"/>
  <c r="AL138" i="1"/>
  <c r="AK138" i="1" s="1"/>
  <c r="AJ170" i="1"/>
  <c r="AL171" i="1"/>
  <c r="AK171" i="1" s="1"/>
  <c r="AL182" i="1"/>
  <c r="AK182" i="1" s="1"/>
  <c r="AJ181" i="1"/>
  <c r="AL149" i="1"/>
  <c r="AK149" i="1" s="1"/>
  <c r="AJ148" i="1"/>
  <c r="AL160" i="1"/>
  <c r="AK160" i="1" s="1"/>
  <c r="AJ159" i="1"/>
  <c r="AJ225" i="1"/>
  <c r="AL226" i="1"/>
  <c r="AK226" i="1" s="1"/>
  <c r="AJ214" i="1"/>
  <c r="AL215" i="1"/>
  <c r="AK215" i="1" s="1"/>
  <c r="AL183" i="1" l="1"/>
  <c r="AK183" i="1" s="1"/>
  <c r="AJ182" i="1"/>
  <c r="AL194" i="1"/>
  <c r="AK194" i="1" s="1"/>
  <c r="AJ193" i="1"/>
  <c r="AJ160" i="1"/>
  <c r="AL161" i="1"/>
  <c r="AK161" i="1" s="1"/>
  <c r="AL150" i="1"/>
  <c r="AK150" i="1" s="1"/>
  <c r="AJ149" i="1"/>
  <c r="AJ215" i="1"/>
  <c r="AL216" i="1"/>
  <c r="AK216" i="1" s="1"/>
  <c r="AL205" i="1"/>
  <c r="AK205" i="1" s="1"/>
  <c r="AJ204" i="1"/>
  <c r="AJ171" i="1"/>
  <c r="AL172" i="1"/>
  <c r="AK172" i="1" s="1"/>
  <c r="AJ138" i="1"/>
  <c r="AL227" i="1"/>
  <c r="AK227" i="1" s="1"/>
  <c r="AJ226" i="1"/>
  <c r="AL173" i="1" l="1"/>
  <c r="AK173" i="1" s="1"/>
  <c r="AJ172" i="1"/>
  <c r="AJ161" i="1"/>
  <c r="AL162" i="1"/>
  <c r="AK162" i="1" s="1"/>
  <c r="AJ194" i="1"/>
  <c r="AL195" i="1"/>
  <c r="AK195" i="1" s="1"/>
  <c r="AL206" i="1"/>
  <c r="AK206" i="1" s="1"/>
  <c r="AJ205" i="1"/>
  <c r="AJ216" i="1"/>
  <c r="AL217" i="1"/>
  <c r="AK217" i="1" s="1"/>
  <c r="AJ227" i="1"/>
  <c r="AL228" i="1"/>
  <c r="AK228" i="1" s="1"/>
  <c r="AJ150" i="1"/>
  <c r="AJ183" i="1"/>
  <c r="AL184" i="1"/>
  <c r="AK184" i="1" s="1"/>
  <c r="AJ217" i="1" l="1"/>
  <c r="AL218" i="1"/>
  <c r="AK218" i="1" s="1"/>
  <c r="AJ162" i="1"/>
  <c r="AL174" i="1"/>
  <c r="AK174" i="1" s="1"/>
  <c r="AJ173" i="1"/>
  <c r="AJ184" i="1"/>
  <c r="AL185" i="1"/>
  <c r="AK185" i="1" s="1"/>
  <c r="AL207" i="1"/>
  <c r="AK207" i="1" s="1"/>
  <c r="AJ206" i="1"/>
  <c r="AL229" i="1"/>
  <c r="AK229" i="1" s="1"/>
  <c r="AJ228" i="1"/>
  <c r="AL196" i="1"/>
  <c r="AK196" i="1" s="1"/>
  <c r="AJ195" i="1"/>
  <c r="AL230" i="1" l="1"/>
  <c r="AK230" i="1" s="1"/>
  <c r="AJ229" i="1"/>
  <c r="AJ185" i="1"/>
  <c r="AL186" i="1"/>
  <c r="AK186" i="1" s="1"/>
  <c r="AL219" i="1"/>
  <c r="AK219" i="1" s="1"/>
  <c r="AJ218" i="1"/>
  <c r="AJ174" i="1"/>
  <c r="AJ207" i="1"/>
  <c r="AL208" i="1"/>
  <c r="AK208" i="1" s="1"/>
  <c r="AJ196" i="1"/>
  <c r="AL197" i="1"/>
  <c r="AK197" i="1" s="1"/>
  <c r="AJ186" i="1" l="1"/>
  <c r="AJ208" i="1"/>
  <c r="AL209" i="1"/>
  <c r="AK209" i="1" s="1"/>
  <c r="AL220" i="1"/>
  <c r="AK220" i="1" s="1"/>
  <c r="AJ219" i="1"/>
  <c r="AL198" i="1"/>
  <c r="AK198" i="1" s="1"/>
  <c r="AJ197" i="1"/>
  <c r="AL231" i="1"/>
  <c r="AK231" i="1" s="1"/>
  <c r="AJ230" i="1"/>
  <c r="AJ220" i="1" l="1"/>
  <c r="AL221" i="1"/>
  <c r="AK221" i="1" s="1"/>
  <c r="AL232" i="1"/>
  <c r="AK232" i="1" s="1"/>
  <c r="AJ231" i="1"/>
  <c r="AJ209" i="1"/>
  <c r="AL210" i="1"/>
  <c r="AK210" i="1" s="1"/>
  <c r="AJ198" i="1"/>
  <c r="AJ232" i="1" l="1"/>
  <c r="AL233" i="1"/>
  <c r="AK233" i="1" s="1"/>
  <c r="AJ221" i="1"/>
  <c r="AL222" i="1"/>
  <c r="AK222" i="1" s="1"/>
  <c r="AJ210" i="1"/>
  <c r="AJ222" i="1" l="1"/>
  <c r="AL234" i="1"/>
  <c r="AK234" i="1" s="1"/>
  <c r="AJ233" i="1"/>
  <c r="AJ234" i="1" l="1"/>
</calcChain>
</file>

<file path=xl/sharedStrings.xml><?xml version="1.0" encoding="utf-8"?>
<sst xmlns="http://schemas.openxmlformats.org/spreadsheetml/2006/main" count="464" uniqueCount="165">
  <si>
    <t>Первоочередная таблица</t>
  </si>
  <si>
    <t>руб./$</t>
  </si>
  <si>
    <t>руб./€</t>
  </si>
  <si>
    <t>Названия</t>
  </si>
  <si>
    <t>Суммы</t>
  </si>
  <si>
    <t>Доли</t>
  </si>
  <si>
    <t>№</t>
  </si>
  <si>
    <t>составляющих сумм</t>
  </si>
  <si>
    <t>составляющих</t>
  </si>
  <si>
    <t>п/п</t>
  </si>
  <si>
    <t>финансирования</t>
  </si>
  <si>
    <t>СФ ЛО</t>
  </si>
  <si>
    <t>Лизингового Объекта</t>
  </si>
  <si>
    <t>в рублях</t>
  </si>
  <si>
    <t>Оборудование</t>
  </si>
  <si>
    <t>Строительство</t>
  </si>
  <si>
    <t>"Местные услуги", в том числе:</t>
  </si>
  <si>
    <t>-</t>
  </si>
  <si>
    <t>%</t>
  </si>
  <si>
    <t>€</t>
  </si>
  <si>
    <t>Доля ДРИМЕКС</t>
  </si>
  <si>
    <t>Оборотные средства в ИСКР</t>
  </si>
  <si>
    <t>Фонд по "Товаро-Обменной Заправке" (ТОЗ)</t>
  </si>
  <si>
    <t>Подготовительные работы Лизингодателя (услуги)</t>
  </si>
  <si>
    <t>Общая Сумма Финансирования Лизингового Объекта</t>
  </si>
  <si>
    <t>€/ISKR</t>
  </si>
  <si>
    <t>Средняя</t>
  </si>
  <si>
    <t>оборачиваемость</t>
  </si>
  <si>
    <t>Эффективная Стоимость ЛО по Алгоритму ИСКР</t>
  </si>
  <si>
    <t>курсов нет</t>
  </si>
  <si>
    <t>Информационных</t>
  </si>
  <si>
    <t>Носителей Обмена</t>
  </si>
  <si>
    <t>Удешевление стоимости Лизингового Объекта, с учетом выросшей оборачиваемости Информационных Носителей Обмена</t>
  </si>
  <si>
    <t>Общая Сумма Непосредственных Затрат по ЛО</t>
  </si>
  <si>
    <t>Сумма финансирования Затрат по Лизингову Объекту</t>
  </si>
  <si>
    <t>Общая Сумма Сопутствующих Затрат по ЛО</t>
  </si>
  <si>
    <t xml:space="preserve">Менять значения в </t>
  </si>
  <si>
    <t xml:space="preserve"> поле</t>
  </si>
  <si>
    <t>Калькулятор для предварительных расчетов по проектам, в Алгоритме ИСКР</t>
  </si>
  <si>
    <t>P-27022021-Образец-1</t>
  </si>
  <si>
    <t>технологическое оборудование</t>
  </si>
  <si>
    <t>строительные работы</t>
  </si>
  <si>
    <t>сумма ЛО</t>
  </si>
  <si>
    <t>Стартовая</t>
  </si>
  <si>
    <t>Доля</t>
  </si>
  <si>
    <t>Затрат ЛО</t>
  </si>
  <si>
    <t>Непосредственных</t>
  </si>
  <si>
    <t>в ISKR</t>
  </si>
  <si>
    <t>Оборотных Cредств</t>
  </si>
  <si>
    <t>Шаг</t>
  </si>
  <si>
    <t>повышения</t>
  </si>
  <si>
    <t>Эквивалента</t>
  </si>
  <si>
    <t>ИНО</t>
  </si>
  <si>
    <t>Годы</t>
  </si>
  <si>
    <t>перехода</t>
  </si>
  <si>
    <t>Потенциал по</t>
  </si>
  <si>
    <t>товарному Обмену</t>
  </si>
  <si>
    <t>во внутренник ИНО</t>
  </si>
  <si>
    <t>к внешним €</t>
  </si>
  <si>
    <t>Аннулирование</t>
  </si>
  <si>
    <t>Через Товаро-Обмен</t>
  </si>
  <si>
    <t>Составляющие ссуды</t>
  </si>
  <si>
    <t>Ставки</t>
  </si>
  <si>
    <t>по подвижному транспортному средству</t>
  </si>
  <si>
    <t>Договорной срок пользования (лет)</t>
  </si>
  <si>
    <t>Процент разовой надбавки на стоимость автомобиля</t>
  </si>
  <si>
    <t>Цена автомобиля (с завода-изготовителя)</t>
  </si>
  <si>
    <t>Размер собственного участия при покрытии ущерба</t>
  </si>
  <si>
    <t>Годичное отчисление в «резервный фонд»</t>
  </si>
  <si>
    <t>Усредненная годичная выплата налогов на автомобиль</t>
  </si>
  <si>
    <t>Цена автомобиля (с учетом фондов ИСКР)</t>
  </si>
  <si>
    <t>Начало</t>
  </si>
  <si>
    <t>реализации проекта</t>
  </si>
  <si>
    <t xml:space="preserve">Всего, промежуточно: </t>
  </si>
  <si>
    <t>Эффективная стоимость транспортного средства, с учетом алгоритма ИСКР:</t>
  </si>
  <si>
    <t>Запланированное показатели покупательской способности вводимых ИСКР за продолжительность проекта:</t>
  </si>
  <si>
    <t xml:space="preserve">Калькулятор </t>
  </si>
  <si>
    <t>С учетом растоможки и утилизации</t>
  </si>
  <si>
    <t>экспорта</t>
  </si>
  <si>
    <t>Состовляющие</t>
  </si>
  <si>
    <t>показатели по экспорту</t>
  </si>
  <si>
    <t>Преимущества алгоритмы ИСКР</t>
  </si>
  <si>
    <t>Отсутствие показателей усиления покупательской способности за срок проекта:</t>
  </si>
  <si>
    <t>Диллеровская нагрузка на экспорт</t>
  </si>
  <si>
    <t>НДС на стоимость автомобиля</t>
  </si>
  <si>
    <t>Платежи по немецкому автострахованию</t>
  </si>
  <si>
    <t>Cобственное участие при покрытии ущерба</t>
  </si>
  <si>
    <t>Годичная выплата налогов на автомобиль</t>
  </si>
  <si>
    <t>По экспортному варианту дороже в разах или на сумму:</t>
  </si>
  <si>
    <t>Ставки платежей</t>
  </si>
  <si>
    <t>по месту</t>
  </si>
  <si>
    <t>Германия</t>
  </si>
  <si>
    <t>Россия</t>
  </si>
  <si>
    <t>Приобретение по "Местным услугам" (на месте)</t>
  </si>
  <si>
    <t>Активная Реклама на Движимых Средствах (АРДС)</t>
  </si>
  <si>
    <t>Преимущества по ИСКР</t>
  </si>
  <si>
    <t>По алгоритму ИСКР</t>
  </si>
  <si>
    <t>регистрации</t>
  </si>
  <si>
    <t>По модели ИСКО</t>
  </si>
  <si>
    <t>эксплуатации</t>
  </si>
  <si>
    <t>Удешевление по "Местным услугам" (на месте)</t>
  </si>
  <si>
    <t>по альтернативному экспорту транспортного средства вне системы ИСКР</t>
  </si>
  <si>
    <t>Сопоставимые показатели</t>
  </si>
  <si>
    <t>по использованию транспортного средства для представителей ДРИМЕКС по алгоритму ИСКР</t>
  </si>
  <si>
    <t>https://calcus.ru/rastamozhka-auto#sbor</t>
  </si>
  <si>
    <t>Платежи по автострахованию</t>
  </si>
  <si>
    <t>Эффективная стоимость транспортного средства по экспорту за период проекта:</t>
  </si>
  <si>
    <t>в €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</si>
  <si>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</si>
  <si>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</si>
  <si>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</si>
  <si>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</si>
  <si>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</si>
  <si>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</si>
  <si>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</si>
  <si>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</si>
  <si>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</si>
  <si>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Отктябрь</t>
  </si>
  <si>
    <t>Ноябрь</t>
  </si>
  <si>
    <t>Декабрь</t>
  </si>
  <si>
    <t xml:space="preserve">Месяц, Год начала проекта   </t>
  </si>
  <si>
    <t>№ п/п Месяца</t>
  </si>
  <si>
    <t>Порядковый</t>
  </si>
  <si>
    <t>Название</t>
  </si>
  <si>
    <t>номер</t>
  </si>
  <si>
    <t>месяцев</t>
  </si>
  <si>
    <t>месяца</t>
  </si>
  <si>
    <t>Оборотные средства в DRIMEX</t>
  </si>
  <si>
    <t>Фактический</t>
  </si>
  <si>
    <t>Общая Сумма Сопутствующих Затрат по Модели</t>
  </si>
  <si>
    <t>Сумма Сопутствующих Затрат по ЛО</t>
  </si>
  <si>
    <t>Сумма Сопутствующих Затрат по Будущим проектам</t>
  </si>
  <si>
    <t>Доля ДРИМЕКС по Будущим проектам</t>
  </si>
  <si>
    <t>Фонды по стимулированию спроса</t>
  </si>
  <si>
    <t>Фонды по стимулированию спроса по Будующим проектам</t>
  </si>
  <si>
    <t>Компенсация морально-материального ущерба cистеме ИСКР</t>
  </si>
  <si>
    <t>Счетчик</t>
  </si>
  <si>
    <t>дат</t>
  </si>
  <si>
    <t>начала</t>
  </si>
  <si>
    <t>Компоненты ввозимого Объекта согласно "Инвестиционного плана"</t>
  </si>
  <si>
    <t>"Местные услуги"</t>
  </si>
  <si>
    <t>Строительные услуги</t>
  </si>
  <si>
    <t>Прочие затраты</t>
  </si>
  <si>
    <r>
      <rPr>
        <b/>
        <sz val="11"/>
        <color theme="1"/>
        <rFont val="Calibri"/>
        <family val="2"/>
        <scheme val="minor"/>
      </rPr>
      <t>Сколько месяцев</t>
    </r>
    <r>
      <rPr>
        <sz val="11"/>
        <color theme="1"/>
        <rFont val="Calibri"/>
        <family val="2"/>
        <scheme val="minor"/>
      </rPr>
      <t xml:space="preserve"> с момета начала проекта на поставку </t>
    </r>
    <r>
      <rPr>
        <b/>
        <sz val="11"/>
        <color theme="1"/>
        <rFont val="Calibri"/>
        <family val="2"/>
        <scheme val="minor"/>
      </rPr>
      <t>1 Половинки</t>
    </r>
    <r>
      <rPr>
        <sz val="11"/>
        <color theme="1"/>
        <rFont val="Calibri"/>
        <family val="2"/>
        <scheme val="minor"/>
      </rPr>
      <t xml:space="preserve"> Объекта</t>
    </r>
  </si>
  <si>
    <r>
      <rPr>
        <b/>
        <sz val="11"/>
        <color theme="1"/>
        <rFont val="Calibri"/>
        <family val="2"/>
        <scheme val="minor"/>
      </rPr>
      <t>Сколько месяцев</t>
    </r>
    <r>
      <rPr>
        <sz val="11"/>
        <color theme="1"/>
        <rFont val="Calibri"/>
        <family val="2"/>
        <scheme val="minor"/>
      </rPr>
      <t xml:space="preserve"> с момета начала проекта на поставку </t>
    </r>
    <r>
      <rPr>
        <b/>
        <sz val="11"/>
        <color theme="1"/>
        <rFont val="Calibri"/>
        <family val="2"/>
        <scheme val="minor"/>
      </rPr>
      <t>2 Половинки</t>
    </r>
    <r>
      <rPr>
        <sz val="11"/>
        <color theme="1"/>
        <rFont val="Calibri"/>
        <family val="2"/>
        <scheme val="minor"/>
      </rPr>
      <t xml:space="preserve"> Объекта</t>
    </r>
  </si>
  <si>
    <r>
      <rPr>
        <b/>
        <sz val="11"/>
        <color theme="1"/>
        <rFont val="Calibri"/>
        <family val="2"/>
        <scheme val="minor"/>
      </rPr>
      <t>Доли</t>
    </r>
    <r>
      <rPr>
        <sz val="11"/>
        <color theme="1"/>
        <rFont val="Calibri"/>
        <family val="2"/>
        <scheme val="minor"/>
      </rPr>
      <t xml:space="preserve"> в процентах поставок </t>
    </r>
    <r>
      <rPr>
        <b/>
        <sz val="11"/>
        <color theme="1"/>
        <rFont val="Calibri"/>
        <family val="2"/>
        <scheme val="minor"/>
      </rPr>
      <t>Первых</t>
    </r>
    <r>
      <rPr>
        <sz val="11"/>
        <color theme="1"/>
        <rFont val="Calibri"/>
        <family val="2"/>
        <scheme val="minor"/>
      </rPr>
      <t xml:space="preserve"> половинок компонентов Объекта</t>
    </r>
  </si>
  <si>
    <t>"Интернациональное Агенство Безопасности" (ISA)</t>
  </si>
  <si>
    <t>"Сопутствующий" проект "Интернациональное Агенство Безопасности" (ISA)</t>
  </si>
  <si>
    <t>Оборотные средства в ИСКР (по "Вкладам" на проект)</t>
  </si>
  <si>
    <t>Возвратные "Вклады", Авансы и т.д.</t>
  </si>
  <si>
    <t>Общая сумма финансового участия Заказчика в формировании Объекта</t>
  </si>
  <si>
    <t>Общая сумма финансового участия Заказчика в проекте</t>
  </si>
  <si>
    <t>Оборотные средства в ИСКР (по Сопутствующим проектам)</t>
  </si>
  <si>
    <t>Вводная таблица</t>
  </si>
  <si>
    <t>для составления модели по проекту</t>
  </si>
  <si>
    <t>Всего Оборотных средств в ИСКР (на проект в целом)</t>
  </si>
  <si>
    <t>"Сопутствующие" проекты (с/х, здравоохранение, культура, наука, спорт)</t>
  </si>
  <si>
    <t>Помесячный</t>
  </si>
  <si>
    <t>Ежедневный</t>
  </si>
  <si>
    <t>размер</t>
  </si>
  <si>
    <t>ББД</t>
  </si>
  <si>
    <t>в ИСКРах</t>
  </si>
  <si>
    <t>Сумма ""Прямой ссуды" для DRIMEX.de GmbH в момент получения служебного автомобиля Представителем по алгоритму ЦР</t>
  </si>
  <si>
    <t>Итоговые затраты Представителя, с учетом возврата прямой ссуды по алгоритму ИСКР, ЦР (Обмен поддержками, в виде ссуд)</t>
  </si>
  <si>
    <t>Эффективная стоимость транспортного средства, с учетом алгоритма ИСКР, с учетом оборотных средств ИСКР: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</si>
</sst>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#,##0&quot; руб.&quot;"/>
    <numFmt numFmtId="165" formatCode="#,##0&quot; ISKR&quot;"/>
    <numFmt numFmtId="166" formatCode="#,##0\ &quot;€&quot;"/>
    <numFmt numFmtId="167" formatCode="0.0000"/>
    <numFmt numFmtId="168" formatCode="#,##0_ ;[Red]\-#,##0\ "/>
    <numFmt numFmtId="169" formatCode="#,##0&quot; DR&quot;"/>
    <numFmt numFmtId="170" formatCode="0.0000%"/>
    <numFmt numFmtId="171" formatCode="#,##0.00\ &quot;€&quot;"/>
    <numFmt numFmtId="172" formatCode="#,##0.00\ \I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6882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39BE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BEE395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E5ECE"/>
        <bgColor indexed="64"/>
      </patternFill>
    </fill>
    <fill>
      <patternFill patternType="solid">
        <fgColor rgb="FFC7A1E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E8EEF8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3D6BBD"/>
        <bgColor indexed="64"/>
      </patternFill>
    </fill>
    <fill>
      <patternFill patternType="solid">
        <fgColor rgb="FF27457B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17">
    <xf numFmtId="0" fontId="0" fillId="0" borderId="0" xfId="0"/>
    <xf numFmtId="10" fontId="0" fillId="0" borderId="0" xfId="0" applyNumberFormat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9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0" fontId="3" fillId="4" borderId="20" xfId="0" applyNumberFormat="1" applyFont="1" applyFill="1" applyBorder="1"/>
    <xf numFmtId="0" fontId="3" fillId="6" borderId="16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10" fontId="3" fillId="6" borderId="21" xfId="0" applyNumberFormat="1" applyFont="1" applyFill="1" applyBorder="1"/>
    <xf numFmtId="0" fontId="3" fillId="7" borderId="16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6" fontId="3" fillId="7" borderId="8" xfId="0" applyNumberFormat="1" applyFont="1" applyFill="1" applyBorder="1"/>
    <xf numFmtId="0" fontId="3" fillId="8" borderId="16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center"/>
    </xf>
    <xf numFmtId="6" fontId="3" fillId="5" borderId="8" xfId="0" applyNumberFormat="1" applyFont="1" applyFill="1" applyBorder="1"/>
    <xf numFmtId="0" fontId="3" fillId="10" borderId="16" xfId="0" applyFont="1" applyFill="1" applyBorder="1" applyAlignment="1">
      <alignment horizontal="center"/>
    </xf>
    <xf numFmtId="0" fontId="3" fillId="13" borderId="26" xfId="0" applyFont="1" applyFill="1" applyBorder="1" applyAlignment="1">
      <alignment horizontal="center"/>
    </xf>
    <xf numFmtId="0" fontId="4" fillId="13" borderId="10" xfId="0" applyFont="1" applyFill="1" applyBorder="1" applyAlignment="1">
      <alignment horizontal="left"/>
    </xf>
    <xf numFmtId="6" fontId="4" fillId="13" borderId="5" xfId="0" applyNumberFormat="1" applyFont="1" applyFill="1" applyBorder="1"/>
    <xf numFmtId="0" fontId="3" fillId="11" borderId="2" xfId="0" applyFont="1" applyFill="1" applyBorder="1" applyAlignment="1">
      <alignment horizontal="center"/>
    </xf>
    <xf numFmtId="0" fontId="3" fillId="11" borderId="23" xfId="0" applyFont="1" applyFill="1" applyBorder="1"/>
    <xf numFmtId="0" fontId="2" fillId="11" borderId="2" xfId="0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right"/>
    </xf>
    <xf numFmtId="164" fontId="3" fillId="5" borderId="8" xfId="0" applyNumberFormat="1" applyFont="1" applyFill="1" applyBorder="1"/>
    <xf numFmtId="164" fontId="3" fillId="7" borderId="8" xfId="0" applyNumberFormat="1" applyFont="1" applyFill="1" applyBorder="1"/>
    <xf numFmtId="164" fontId="3" fillId="5" borderId="1" xfId="0" applyNumberFormat="1" applyFont="1" applyFill="1" applyBorder="1"/>
    <xf numFmtId="6" fontId="2" fillId="11" borderId="1" xfId="0" applyNumberFormat="1" applyFont="1" applyFill="1" applyBorder="1"/>
    <xf numFmtId="164" fontId="2" fillId="11" borderId="1" xfId="0" applyNumberFormat="1" applyFont="1" applyFill="1" applyBorder="1"/>
    <xf numFmtId="10" fontId="2" fillId="11" borderId="24" xfId="0" applyNumberFormat="1" applyFont="1" applyFill="1" applyBorder="1"/>
    <xf numFmtId="6" fontId="3" fillId="13" borderId="7" xfId="0" applyNumberFormat="1" applyFont="1" applyFill="1" applyBorder="1"/>
    <xf numFmtId="0" fontId="3" fillId="2" borderId="26" xfId="0" applyFont="1" applyFill="1" applyBorder="1"/>
    <xf numFmtId="0" fontId="3" fillId="2" borderId="27" xfId="0" applyFont="1" applyFill="1" applyBorder="1"/>
    <xf numFmtId="10" fontId="1" fillId="5" borderId="24" xfId="0" applyNumberFormat="1" applyFont="1" applyFill="1" applyBorder="1"/>
    <xf numFmtId="0" fontId="2" fillId="11" borderId="2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3" fontId="3" fillId="5" borderId="8" xfId="0" applyNumberFormat="1" applyFont="1" applyFill="1" applyBorder="1" applyAlignment="1">
      <alignment horizontal="center"/>
    </xf>
    <xf numFmtId="3" fontId="3" fillId="7" borderId="8" xfId="0" applyNumberFormat="1" applyFont="1" applyFill="1" applyBorder="1" applyAlignment="1">
      <alignment horizontal="center"/>
    </xf>
    <xf numFmtId="3" fontId="3" fillId="5" borderId="7" xfId="0" applyNumberFormat="1" applyFont="1" applyFill="1" applyBorder="1" applyAlignment="1">
      <alignment horizontal="center"/>
    </xf>
    <xf numFmtId="0" fontId="2" fillId="11" borderId="15" xfId="0" applyFont="1" applyFill="1" applyBorder="1" applyAlignment="1">
      <alignment horizontal="right"/>
    </xf>
    <xf numFmtId="6" fontId="0" fillId="0" borderId="0" xfId="0" applyNumberFormat="1"/>
    <xf numFmtId="6" fontId="2" fillId="11" borderId="3" xfId="0" applyNumberFormat="1" applyFont="1" applyFill="1" applyBorder="1"/>
    <xf numFmtId="3" fontId="2" fillId="11" borderId="1" xfId="0" applyNumberFormat="1" applyFont="1" applyFill="1" applyBorder="1" applyAlignment="1">
      <alignment horizontal="center"/>
    </xf>
    <xf numFmtId="164" fontId="2" fillId="11" borderId="3" xfId="0" applyNumberFormat="1" applyFont="1" applyFill="1" applyBorder="1"/>
    <xf numFmtId="3" fontId="2" fillId="11" borderId="3" xfId="0" applyNumberFormat="1" applyFont="1" applyFill="1" applyBorder="1" applyAlignment="1">
      <alignment horizontal="center"/>
    </xf>
    <xf numFmtId="3" fontId="2" fillId="11" borderId="30" xfId="0" applyNumberFormat="1" applyFont="1" applyFill="1" applyBorder="1" applyAlignment="1">
      <alignment horizontal="center"/>
    </xf>
    <xf numFmtId="6" fontId="2" fillId="11" borderId="25" xfId="0" applyNumberFormat="1" applyFont="1" applyFill="1" applyBorder="1"/>
    <xf numFmtId="164" fontId="2" fillId="11" borderId="25" xfId="0" applyNumberFormat="1" applyFont="1" applyFill="1" applyBorder="1"/>
    <xf numFmtId="0" fontId="6" fillId="14" borderId="22" xfId="0" applyFont="1" applyFill="1" applyBorder="1" applyAlignment="1">
      <alignment horizontal="left"/>
    </xf>
    <xf numFmtId="6" fontId="6" fillId="14" borderId="3" xfId="0" applyNumberFormat="1" applyFont="1" applyFill="1" applyBorder="1"/>
    <xf numFmtId="164" fontId="6" fillId="14" borderId="1" xfId="0" applyNumberFormat="1" applyFont="1" applyFill="1" applyBorder="1"/>
    <xf numFmtId="3" fontId="6" fillId="14" borderId="3" xfId="0" applyNumberFormat="1" applyFont="1" applyFill="1" applyBorder="1" applyAlignment="1">
      <alignment horizontal="center"/>
    </xf>
    <xf numFmtId="10" fontId="6" fillId="14" borderId="24" xfId="0" applyNumberFormat="1" applyFont="1" applyFill="1" applyBorder="1"/>
    <xf numFmtId="10" fontId="3" fillId="15" borderId="20" xfId="0" applyNumberFormat="1" applyFont="1" applyFill="1" applyBorder="1"/>
    <xf numFmtId="10" fontId="3" fillId="15" borderId="21" xfId="0" applyNumberFormat="1" applyFont="1" applyFill="1" applyBorder="1"/>
    <xf numFmtId="3" fontId="3" fillId="15" borderId="8" xfId="0" applyNumberFormat="1" applyFont="1" applyFill="1" applyBorder="1" applyAlignment="1">
      <alignment horizontal="center"/>
    </xf>
    <xf numFmtId="6" fontId="1" fillId="3" borderId="7" xfId="0" applyNumberFormat="1" applyFont="1" applyFill="1" applyBorder="1"/>
    <xf numFmtId="6" fontId="1" fillId="3" borderId="8" xfId="0" applyNumberFormat="1" applyFont="1" applyFill="1" applyBorder="1"/>
    <xf numFmtId="6" fontId="6" fillId="3" borderId="28" xfId="0" applyNumberFormat="1" applyFont="1" applyFill="1" applyBorder="1"/>
    <xf numFmtId="6" fontId="2" fillId="3" borderId="13" xfId="0" applyNumberFormat="1" applyFont="1" applyFill="1" applyBorder="1"/>
    <xf numFmtId="0" fontId="5" fillId="2" borderId="31" xfId="0" applyFont="1" applyFill="1" applyBorder="1"/>
    <xf numFmtId="0" fontId="0" fillId="2" borderId="32" xfId="0" applyFill="1" applyBorder="1"/>
    <xf numFmtId="0" fontId="0" fillId="2" borderId="33" xfId="0" applyFill="1" applyBorder="1"/>
    <xf numFmtId="0" fontId="5" fillId="2" borderId="34" xfId="0" applyFont="1" applyFill="1" applyBorder="1" applyAlignment="1">
      <alignment horizontal="right"/>
    </xf>
    <xf numFmtId="0" fontId="0" fillId="3" borderId="34" xfId="0" applyFill="1" applyBorder="1"/>
    <xf numFmtId="0" fontId="5" fillId="2" borderId="35" xfId="0" applyFont="1" applyFill="1" applyBorder="1"/>
    <xf numFmtId="3" fontId="0" fillId="0" borderId="0" xfId="0" applyNumberFormat="1"/>
    <xf numFmtId="166" fontId="0" fillId="0" borderId="0" xfId="0" applyNumberFormat="1"/>
    <xf numFmtId="3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2" borderId="38" xfId="0" applyNumberFormat="1" applyFill="1" applyBorder="1" applyAlignment="1">
      <alignment horizontal="center"/>
    </xf>
    <xf numFmtId="3" fontId="0" fillId="2" borderId="21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9" fontId="0" fillId="3" borderId="39" xfId="0" applyNumberFormat="1" applyFill="1" applyBorder="1" applyAlignment="1">
      <alignment horizontal="center"/>
    </xf>
    <xf numFmtId="10" fontId="2" fillId="11" borderId="20" xfId="0" applyNumberFormat="1" applyFont="1" applyFill="1" applyBorder="1"/>
    <xf numFmtId="10" fontId="2" fillId="11" borderId="40" xfId="0" applyNumberFormat="1" applyFont="1" applyFill="1" applyBorder="1"/>
    <xf numFmtId="2" fontId="0" fillId="0" borderId="0" xfId="0" applyNumberFormat="1" applyAlignment="1">
      <alignment horizontal="center"/>
    </xf>
    <xf numFmtId="14" fontId="2" fillId="11" borderId="14" xfId="0" applyNumberFormat="1" applyFont="1" applyFill="1" applyBorder="1" applyAlignment="1">
      <alignment horizontal="center"/>
    </xf>
    <xf numFmtId="1" fontId="5" fillId="3" borderId="16" xfId="0" applyNumberFormat="1" applyFont="1" applyFill="1" applyBorder="1" applyAlignment="1">
      <alignment horizontal="center"/>
    </xf>
    <xf numFmtId="1" fontId="5" fillId="3" borderId="42" xfId="0" applyNumberFormat="1" applyFont="1" applyFill="1" applyBorder="1" applyAlignment="1">
      <alignment horizontal="center"/>
    </xf>
    <xf numFmtId="6" fontId="0" fillId="16" borderId="6" xfId="0" applyNumberFormat="1" applyFill="1" applyBorder="1"/>
    <xf numFmtId="6" fontId="0" fillId="16" borderId="44" xfId="0" applyNumberFormat="1" applyFill="1" applyBorder="1"/>
    <xf numFmtId="165" fontId="7" fillId="11" borderId="6" xfId="0" applyNumberFormat="1" applyFont="1" applyFill="1" applyBorder="1"/>
    <xf numFmtId="6" fontId="0" fillId="17" borderId="6" xfId="0" applyNumberFormat="1" applyFill="1" applyBorder="1"/>
    <xf numFmtId="6" fontId="0" fillId="17" borderId="44" xfId="0" applyNumberFormat="1" applyFill="1" applyBorder="1"/>
    <xf numFmtId="2" fontId="5" fillId="3" borderId="43" xfId="0" applyNumberFormat="1" applyFont="1" applyFill="1" applyBorder="1" applyAlignment="1">
      <alignment horizontal="center"/>
    </xf>
    <xf numFmtId="9" fontId="5" fillId="3" borderId="39" xfId="0" applyNumberFormat="1" applyFont="1" applyFill="1" applyBorder="1" applyAlignment="1">
      <alignment horizontal="center"/>
    </xf>
    <xf numFmtId="9" fontId="5" fillId="3" borderId="40" xfId="0" applyNumberFormat="1" applyFont="1" applyFill="1" applyBorder="1" applyAlignment="1">
      <alignment horizontal="center"/>
    </xf>
    <xf numFmtId="166" fontId="0" fillId="5" borderId="45" xfId="0" applyNumberFormat="1" applyFill="1" applyBorder="1"/>
    <xf numFmtId="10" fontId="0" fillId="5" borderId="3" xfId="0" applyNumberFormat="1" applyFill="1" applyBorder="1"/>
    <xf numFmtId="9" fontId="0" fillId="5" borderId="46" xfId="0" applyNumberFormat="1" applyFill="1" applyBorder="1" applyAlignment="1">
      <alignment horizontal="center"/>
    </xf>
    <xf numFmtId="167" fontId="0" fillId="18" borderId="6" xfId="0" applyNumberFormat="1" applyFill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19" borderId="10" xfId="0" applyFont="1" applyFill="1" applyBorder="1"/>
    <xf numFmtId="0" fontId="3" fillId="19" borderId="0" xfId="0" applyFont="1" applyFill="1" applyBorder="1"/>
    <xf numFmtId="6" fontId="3" fillId="5" borderId="6" xfId="0" applyNumberFormat="1" applyFont="1" applyFill="1" applyBorder="1"/>
    <xf numFmtId="6" fontId="3" fillId="2" borderId="6" xfId="0" applyNumberFormat="1" applyFont="1" applyFill="1" applyBorder="1"/>
    <xf numFmtId="6" fontId="3" fillId="2" borderId="4" xfId="0" applyNumberFormat="1" applyFont="1" applyFill="1" applyBorder="1"/>
    <xf numFmtId="6" fontId="3" fillId="5" borderId="4" xfId="0" applyNumberFormat="1" applyFont="1" applyFill="1" applyBorder="1"/>
    <xf numFmtId="0" fontId="3" fillId="2" borderId="2" xfId="0" applyFont="1" applyFill="1" applyBorder="1"/>
    <xf numFmtId="6" fontId="3" fillId="2" borderId="47" xfId="0" applyNumberFormat="1" applyFont="1" applyFill="1" applyBorder="1"/>
    <xf numFmtId="0" fontId="1" fillId="2" borderId="4" xfId="0" applyFont="1" applyFill="1" applyBorder="1" applyAlignment="1">
      <alignment horizontal="center"/>
    </xf>
    <xf numFmtId="0" fontId="9" fillId="20" borderId="2" xfId="0" applyFont="1" applyFill="1" applyBorder="1"/>
    <xf numFmtId="0" fontId="8" fillId="20" borderId="2" xfId="0" applyFont="1" applyFill="1" applyBorder="1"/>
    <xf numFmtId="0" fontId="8" fillId="20" borderId="47" xfId="0" applyFont="1" applyFill="1" applyBorder="1"/>
    <xf numFmtId="166" fontId="5" fillId="2" borderId="36" xfId="0" applyNumberFormat="1" applyFont="1" applyFill="1" applyBorder="1" applyAlignment="1">
      <alignment horizontal="center"/>
    </xf>
    <xf numFmtId="3" fontId="5" fillId="2" borderId="37" xfId="0" applyNumberFormat="1" applyFont="1" applyFill="1" applyBorder="1" applyAlignment="1">
      <alignment horizontal="center"/>
    </xf>
    <xf numFmtId="2" fontId="5" fillId="2" borderId="41" xfId="0" applyNumberFormat="1" applyFont="1" applyFill="1" applyBorder="1" applyAlignment="1">
      <alignment horizontal="center"/>
    </xf>
    <xf numFmtId="166" fontId="5" fillId="2" borderId="17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166" fontId="5" fillId="2" borderId="16" xfId="0" applyNumberFormat="1" applyFont="1" applyFill="1" applyBorder="1" applyAlignment="1">
      <alignment horizontal="center"/>
    </xf>
    <xf numFmtId="3" fontId="5" fillId="2" borderId="4" xfId="0" applyNumberFormat="1" applyFont="1" applyFill="1" applyBorder="1"/>
    <xf numFmtId="2" fontId="5" fillId="2" borderId="9" xfId="0" applyNumberFormat="1" applyFont="1" applyFill="1" applyBorder="1" applyAlignment="1">
      <alignment horizontal="center"/>
    </xf>
    <xf numFmtId="0" fontId="1" fillId="0" borderId="0" xfId="0" applyFont="1"/>
    <xf numFmtId="0" fontId="1" fillId="13" borderId="4" xfId="0" applyFont="1" applyFill="1" applyBorder="1" applyAlignment="1">
      <alignment horizontal="center"/>
    </xf>
    <xf numFmtId="0" fontId="3" fillId="13" borderId="12" xfId="0" applyFont="1" applyFill="1" applyBorder="1"/>
    <xf numFmtId="0" fontId="1" fillId="13" borderId="49" xfId="0" applyFont="1" applyFill="1" applyBorder="1" applyAlignment="1">
      <alignment horizontal="center"/>
    </xf>
    <xf numFmtId="0" fontId="3" fillId="21" borderId="10" xfId="0" applyFont="1" applyFill="1" applyBorder="1"/>
    <xf numFmtId="0" fontId="3" fillId="21" borderId="48" xfId="0" applyFont="1" applyFill="1" applyBorder="1"/>
    <xf numFmtId="0" fontId="3" fillId="21" borderId="0" xfId="0" applyFont="1" applyFill="1" applyBorder="1"/>
    <xf numFmtId="0" fontId="3" fillId="21" borderId="11" xfId="0" applyFont="1" applyFill="1" applyBorder="1"/>
    <xf numFmtId="0" fontId="3" fillId="21" borderId="49" xfId="0" applyFont="1" applyFill="1" applyBorder="1"/>
    <xf numFmtId="0" fontId="3" fillId="21" borderId="12" xfId="0" applyFont="1" applyFill="1" applyBorder="1"/>
    <xf numFmtId="6" fontId="3" fillId="2" borderId="2" xfId="0" applyNumberFormat="1" applyFont="1" applyFill="1" applyBorder="1"/>
    <xf numFmtId="0" fontId="0" fillId="20" borderId="2" xfId="0" applyFill="1" applyBorder="1"/>
    <xf numFmtId="10" fontId="3" fillId="3" borderId="6" xfId="0" applyNumberFormat="1" applyFont="1" applyFill="1" applyBorder="1" applyAlignment="1">
      <alignment horizontal="right"/>
    </xf>
    <xf numFmtId="10" fontId="3" fillId="3" borderId="6" xfId="0" applyNumberFormat="1" applyFont="1" applyFill="1" applyBorder="1"/>
    <xf numFmtId="10" fontId="3" fillId="3" borderId="4" xfId="0" applyNumberFormat="1" applyFont="1" applyFill="1" applyBorder="1"/>
    <xf numFmtId="10" fontId="9" fillId="11" borderId="6" xfId="0" applyNumberFormat="1" applyFont="1" applyFill="1" applyBorder="1" applyAlignment="1">
      <alignment horizontal="center"/>
    </xf>
    <xf numFmtId="166" fontId="7" fillId="23" borderId="47" xfId="0" applyNumberFormat="1" applyFont="1" applyFill="1" applyBorder="1" applyAlignment="1">
      <alignment horizontal="right"/>
    </xf>
    <xf numFmtId="9" fontId="3" fillId="3" borderId="6" xfId="0" applyNumberFormat="1" applyFont="1" applyFill="1" applyBorder="1"/>
    <xf numFmtId="10" fontId="4" fillId="5" borderId="6" xfId="0" applyNumberFormat="1" applyFont="1" applyFill="1" applyBorder="1" applyAlignment="1">
      <alignment horizontal="right"/>
    </xf>
    <xf numFmtId="0" fontId="2" fillId="12" borderId="0" xfId="0" applyFont="1" applyFill="1" applyBorder="1" applyAlignment="1">
      <alignment horizontal="left"/>
    </xf>
    <xf numFmtId="165" fontId="2" fillId="20" borderId="6" xfId="0" applyNumberFormat="1" applyFont="1" applyFill="1" applyBorder="1"/>
    <xf numFmtId="0" fontId="2" fillId="20" borderId="0" xfId="0" applyFont="1" applyFill="1" applyBorder="1" applyAlignment="1">
      <alignment horizontal="left"/>
    </xf>
    <xf numFmtId="6" fontId="6" fillId="20" borderId="6" xfId="0" applyNumberFormat="1" applyFont="1" applyFill="1" applyBorder="1"/>
    <xf numFmtId="0" fontId="2" fillId="12" borderId="8" xfId="0" applyFont="1" applyFill="1" applyBorder="1" applyAlignment="1">
      <alignment horizontal="left"/>
    </xf>
    <xf numFmtId="0" fontId="3" fillId="20" borderId="0" xfId="0" applyFont="1" applyFill="1" applyBorder="1"/>
    <xf numFmtId="0" fontId="2" fillId="20" borderId="0" xfId="0" applyFont="1" applyFill="1" applyBorder="1"/>
    <xf numFmtId="0" fontId="2" fillId="20" borderId="11" xfId="0" applyFont="1" applyFill="1" applyBorder="1"/>
    <xf numFmtId="165" fontId="9" fillId="20" borderId="6" xfId="0" applyNumberFormat="1" applyFont="1" applyFill="1" applyBorder="1" applyAlignment="1">
      <alignment horizontal="center"/>
    </xf>
    <xf numFmtId="165" fontId="4" fillId="24" borderId="6" xfId="0" applyNumberFormat="1" applyFont="1" applyFill="1" applyBorder="1" applyAlignment="1">
      <alignment horizontal="center"/>
    </xf>
    <xf numFmtId="6" fontId="9" fillId="20" borderId="0" xfId="0" applyNumberFormat="1" applyFont="1" applyFill="1" applyBorder="1" applyAlignment="1">
      <alignment horizontal="right"/>
    </xf>
    <xf numFmtId="6" fontId="3" fillId="5" borderId="0" xfId="0" applyNumberFormat="1" applyFont="1" applyFill="1" applyBorder="1"/>
    <xf numFmtId="1" fontId="1" fillId="5" borderId="3" xfId="0" applyNumberFormat="1" applyFont="1" applyFill="1" applyBorder="1" applyAlignment="1">
      <alignment horizontal="center"/>
    </xf>
    <xf numFmtId="1" fontId="1" fillId="5" borderId="3" xfId="0" applyNumberFormat="1" applyFont="1" applyFill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10" fillId="0" borderId="0" xfId="1" applyNumberFormat="1" applyAlignment="1">
      <alignment horizontal="left"/>
    </xf>
    <xf numFmtId="0" fontId="3" fillId="13" borderId="50" xfId="0" applyFont="1" applyFill="1" applyBorder="1"/>
    <xf numFmtId="0" fontId="1" fillId="13" borderId="51" xfId="0" applyFont="1" applyFill="1" applyBorder="1"/>
    <xf numFmtId="0" fontId="3" fillId="13" borderId="52" xfId="0" applyFont="1" applyFill="1" applyBorder="1"/>
    <xf numFmtId="0" fontId="1" fillId="13" borderId="37" xfId="0" applyFont="1" applyFill="1" applyBorder="1" applyAlignment="1">
      <alignment horizontal="center"/>
    </xf>
    <xf numFmtId="0" fontId="1" fillId="13" borderId="38" xfId="0" applyFont="1" applyFill="1" applyBorder="1" applyAlignment="1">
      <alignment horizontal="center"/>
    </xf>
    <xf numFmtId="0" fontId="3" fillId="13" borderId="27" xfId="0" applyFont="1" applyFill="1" applyBorder="1"/>
    <xf numFmtId="0" fontId="1" fillId="13" borderId="18" xfId="0" applyFont="1" applyFill="1" applyBorder="1" applyAlignment="1">
      <alignment horizontal="center"/>
    </xf>
    <xf numFmtId="0" fontId="3" fillId="21" borderId="26" xfId="0" applyFont="1" applyFill="1" applyBorder="1"/>
    <xf numFmtId="168" fontId="1" fillId="5" borderId="24" xfId="0" applyNumberFormat="1" applyFont="1" applyFill="1" applyBorder="1"/>
    <xf numFmtId="0" fontId="3" fillId="22" borderId="53" xfId="0" applyFont="1" applyFill="1" applyBorder="1"/>
    <xf numFmtId="6" fontId="3" fillId="5" borderId="21" xfId="0" applyNumberFormat="1" applyFont="1" applyFill="1" applyBorder="1"/>
    <xf numFmtId="0" fontId="2" fillId="20" borderId="53" xfId="0" applyFont="1" applyFill="1" applyBorder="1"/>
    <xf numFmtId="0" fontId="9" fillId="11" borderId="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6" fontId="2" fillId="11" borderId="21" xfId="0" applyNumberFormat="1" applyFont="1" applyFill="1" applyBorder="1" applyAlignment="1">
      <alignment horizontal="center"/>
    </xf>
    <xf numFmtId="0" fontId="2" fillId="12" borderId="53" xfId="0" applyFont="1" applyFill="1" applyBorder="1" applyAlignment="1">
      <alignment horizontal="left"/>
    </xf>
    <xf numFmtId="165" fontId="4" fillId="24" borderId="21" xfId="0" applyNumberFormat="1" applyFont="1" applyFill="1" applyBorder="1" applyAlignment="1">
      <alignment horizontal="center"/>
    </xf>
    <xf numFmtId="0" fontId="3" fillId="21" borderId="53" xfId="0" applyFont="1" applyFill="1" applyBorder="1"/>
    <xf numFmtId="166" fontId="3" fillId="5" borderId="21" xfId="0" applyNumberFormat="1" applyFont="1" applyFill="1" applyBorder="1"/>
    <xf numFmtId="0" fontId="3" fillId="21" borderId="27" xfId="0" applyFont="1" applyFill="1" applyBorder="1"/>
    <xf numFmtId="6" fontId="3" fillId="5" borderId="18" xfId="0" applyNumberFormat="1" applyFont="1" applyFill="1" applyBorder="1"/>
    <xf numFmtId="0" fontId="3" fillId="2" borderId="22" xfId="0" applyFont="1" applyFill="1" applyBorder="1"/>
    <xf numFmtId="6" fontId="3" fillId="2" borderId="46" xfId="0" applyNumberFormat="1" applyFont="1" applyFill="1" applyBorder="1"/>
    <xf numFmtId="0" fontId="9" fillId="20" borderId="22" xfId="0" applyFont="1" applyFill="1" applyBorder="1"/>
    <xf numFmtId="165" fontId="8" fillId="20" borderId="24" xfId="0" applyNumberFormat="1" applyFont="1" applyFill="1" applyBorder="1"/>
    <xf numFmtId="0" fontId="9" fillId="11" borderId="54" xfId="0" applyFont="1" applyFill="1" applyBorder="1"/>
    <xf numFmtId="0" fontId="0" fillId="11" borderId="25" xfId="0" applyFill="1" applyBorder="1"/>
    <xf numFmtId="0" fontId="8" fillId="11" borderId="55" xfId="0" applyFont="1" applyFill="1" applyBorder="1"/>
    <xf numFmtId="0" fontId="8" fillId="11" borderId="56" xfId="0" applyFont="1" applyFill="1" applyBorder="1"/>
    <xf numFmtId="0" fontId="1" fillId="2" borderId="36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19" borderId="19" xfId="0" applyFont="1" applyFill="1" applyBorder="1" applyAlignment="1">
      <alignment horizontal="center"/>
    </xf>
    <xf numFmtId="168" fontId="1" fillId="3" borderId="24" xfId="0" applyNumberFormat="1" applyFont="1" applyFill="1" applyBorder="1" applyAlignment="1">
      <alignment horizontal="right"/>
    </xf>
    <xf numFmtId="0" fontId="1" fillId="19" borderId="16" xfId="0" applyFont="1" applyFill="1" applyBorder="1" applyAlignment="1">
      <alignment horizontal="center"/>
    </xf>
    <xf numFmtId="0" fontId="2" fillId="11" borderId="39" xfId="0" applyFont="1" applyFill="1" applyBorder="1" applyAlignment="1">
      <alignment horizontal="center"/>
    </xf>
    <xf numFmtId="6" fontId="4" fillId="5" borderId="21" xfId="0" applyNumberFormat="1" applyFont="1" applyFill="1" applyBorder="1" applyAlignment="1">
      <alignment horizontal="right"/>
    </xf>
    <xf numFmtId="0" fontId="3" fillId="2" borderId="22" xfId="0" applyFont="1" applyFill="1" applyBorder="1" applyAlignment="1">
      <alignment horizontal="center"/>
    </xf>
    <xf numFmtId="0" fontId="8" fillId="20" borderId="22" xfId="0" applyFont="1" applyFill="1" applyBorder="1"/>
    <xf numFmtId="0" fontId="8" fillId="11" borderId="54" xfId="0" applyFont="1" applyFill="1" applyBorder="1"/>
    <xf numFmtId="0" fontId="9" fillId="11" borderId="25" xfId="0" applyFont="1" applyFill="1" applyBorder="1"/>
    <xf numFmtId="0" fontId="8" fillId="11" borderId="25" xfId="0" applyFont="1" applyFill="1" applyBorder="1"/>
    <xf numFmtId="4" fontId="7" fillId="25" borderId="3" xfId="0" applyNumberFormat="1" applyFont="1" applyFill="1" applyBorder="1"/>
    <xf numFmtId="0" fontId="5" fillId="26" borderId="1" xfId="0" applyFont="1" applyFill="1" applyBorder="1"/>
    <xf numFmtId="0" fontId="0" fillId="26" borderId="2" xfId="0" applyFill="1" applyBorder="1"/>
    <xf numFmtId="166" fontId="0" fillId="26" borderId="2" xfId="0" applyNumberFormat="1" applyFill="1" applyBorder="1"/>
    <xf numFmtId="3" fontId="0" fillId="26" borderId="2" xfId="0" applyNumberFormat="1" applyFill="1" applyBorder="1"/>
    <xf numFmtId="167" fontId="5" fillId="3" borderId="3" xfId="0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166" fontId="0" fillId="2" borderId="36" xfId="0" applyNumberFormat="1" applyFill="1" applyBorder="1" applyAlignment="1">
      <alignment horizontal="center"/>
    </xf>
    <xf numFmtId="3" fontId="0" fillId="2" borderId="37" xfId="0" applyNumberFormat="1" applyFill="1" applyBorder="1" applyAlignment="1">
      <alignment horizontal="center"/>
    </xf>
    <xf numFmtId="2" fontId="0" fillId="2" borderId="41" xfId="0" applyNumberFormat="1" applyFill="1" applyBorder="1" applyAlignment="1">
      <alignment horizontal="center"/>
    </xf>
    <xf numFmtId="10" fontId="0" fillId="2" borderId="38" xfId="0" applyNumberFormat="1" applyFill="1" applyBorder="1" applyAlignment="1">
      <alignment horizontal="center"/>
    </xf>
    <xf numFmtId="166" fontId="0" fillId="2" borderId="1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10" fontId="0" fillId="2" borderId="21" xfId="0" applyNumberFormat="1" applyFill="1" applyBorder="1" applyAlignment="1">
      <alignment horizontal="center"/>
    </xf>
    <xf numFmtId="166" fontId="0" fillId="2" borderId="16" xfId="0" applyNumberFormat="1" applyFill="1" applyBorder="1" applyAlignment="1">
      <alignment horizontal="center"/>
    </xf>
    <xf numFmtId="3" fontId="0" fillId="2" borderId="4" xfId="0" applyNumberFormat="1" applyFill="1" applyBorder="1"/>
    <xf numFmtId="2" fontId="0" fillId="2" borderId="9" xfId="0" applyNumberFormat="1" applyFill="1" applyBorder="1" applyAlignment="1">
      <alignment horizontal="center"/>
    </xf>
    <xf numFmtId="10" fontId="0" fillId="2" borderId="18" xfId="0" applyNumberFormat="1" applyFill="1" applyBorder="1" applyAlignment="1">
      <alignment horizontal="center"/>
    </xf>
    <xf numFmtId="10" fontId="0" fillId="5" borderId="47" xfId="0" applyNumberFormat="1" applyFill="1" applyBorder="1"/>
    <xf numFmtId="167" fontId="5" fillId="5" borderId="3" xfId="0" applyNumberFormat="1" applyFont="1" applyFill="1" applyBorder="1" applyAlignment="1">
      <alignment horizontal="center"/>
    </xf>
    <xf numFmtId="10" fontId="0" fillId="5" borderId="46" xfId="0" applyNumberFormat="1" applyFill="1" applyBorder="1" applyAlignment="1">
      <alignment horizontal="center"/>
    </xf>
    <xf numFmtId="1" fontId="5" fillId="27" borderId="16" xfId="0" applyNumberFormat="1" applyFont="1" applyFill="1" applyBorder="1" applyAlignment="1">
      <alignment horizontal="center"/>
    </xf>
    <xf numFmtId="1" fontId="5" fillId="28" borderId="11" xfId="0" applyNumberFormat="1" applyFont="1" applyFill="1" applyBorder="1" applyAlignment="1">
      <alignment horizontal="center"/>
    </xf>
    <xf numFmtId="6" fontId="5" fillId="16" borderId="6" xfId="0" applyNumberFormat="1" applyFont="1" applyFill="1" applyBorder="1"/>
    <xf numFmtId="6" fontId="5" fillId="17" borderId="6" xfId="0" applyNumberFormat="1" applyFont="1" applyFill="1" applyBorder="1"/>
    <xf numFmtId="10" fontId="5" fillId="27" borderId="20" xfId="0" applyNumberFormat="1" applyFont="1" applyFill="1" applyBorder="1" applyAlignment="1">
      <alignment horizontal="center"/>
    </xf>
    <xf numFmtId="10" fontId="0" fillId="27" borderId="21" xfId="0" applyNumberFormat="1" applyFill="1" applyBorder="1" applyAlignment="1">
      <alignment horizontal="center"/>
    </xf>
    <xf numFmtId="1" fontId="5" fillId="27" borderId="17" xfId="0" applyNumberFormat="1" applyFont="1" applyFill="1" applyBorder="1" applyAlignment="1">
      <alignment horizontal="center"/>
    </xf>
    <xf numFmtId="1" fontId="5" fillId="28" borderId="4" xfId="0" applyNumberFormat="1" applyFont="1" applyFill="1" applyBorder="1" applyAlignment="1">
      <alignment horizontal="center"/>
    </xf>
    <xf numFmtId="6" fontId="0" fillId="16" borderId="4" xfId="0" applyNumberFormat="1" applyFill="1" applyBorder="1"/>
    <xf numFmtId="165" fontId="7" fillId="11" borderId="4" xfId="0" applyNumberFormat="1" applyFont="1" applyFill="1" applyBorder="1"/>
    <xf numFmtId="6" fontId="0" fillId="17" borderId="4" xfId="0" applyNumberFormat="1" applyFill="1" applyBorder="1"/>
    <xf numFmtId="167" fontId="0" fillId="18" borderId="4" xfId="0" applyNumberFormat="1" applyFill="1" applyBorder="1" applyAlignment="1">
      <alignment horizontal="center"/>
    </xf>
    <xf numFmtId="10" fontId="0" fillId="27" borderId="18" xfId="0" applyNumberFormat="1" applyFill="1" applyBorder="1" applyAlignment="1">
      <alignment horizontal="center"/>
    </xf>
    <xf numFmtId="1" fontId="5" fillId="29" borderId="11" xfId="0" applyNumberFormat="1" applyFont="1" applyFill="1" applyBorder="1" applyAlignment="1">
      <alignment horizontal="center"/>
    </xf>
    <xf numFmtId="167" fontId="5" fillId="18" borderId="6" xfId="0" applyNumberFormat="1" applyFont="1" applyFill="1" applyBorder="1" applyAlignment="1">
      <alignment horizontal="center"/>
    </xf>
    <xf numFmtId="10" fontId="5" fillId="27" borderId="21" xfId="0" applyNumberFormat="1" applyFont="1" applyFill="1" applyBorder="1" applyAlignment="1">
      <alignment horizontal="center"/>
    </xf>
    <xf numFmtId="1" fontId="5" fillId="29" borderId="4" xfId="0" applyNumberFormat="1" applyFont="1" applyFill="1" applyBorder="1" applyAlignment="1">
      <alignment horizontal="center"/>
    </xf>
    <xf numFmtId="167" fontId="0" fillId="18" borderId="6" xfId="0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6" fontId="5" fillId="3" borderId="3" xfId="0" applyNumberFormat="1" applyFont="1" applyFill="1" applyBorder="1"/>
    <xf numFmtId="2" fontId="5" fillId="3" borderId="3" xfId="0" applyNumberFormat="1" applyFont="1" applyFill="1" applyBorder="1" applyAlignment="1">
      <alignment horizontal="center"/>
    </xf>
    <xf numFmtId="10" fontId="5" fillId="3" borderId="24" xfId="0" applyNumberFormat="1" applyFont="1" applyFill="1" applyBorder="1" applyAlignment="1">
      <alignment horizontal="center"/>
    </xf>
    <xf numFmtId="1" fontId="5" fillId="3" borderId="11" xfId="0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center"/>
    </xf>
    <xf numFmtId="10" fontId="5" fillId="3" borderId="21" xfId="0" applyNumberFormat="1" applyFont="1" applyFill="1" applyBorder="1" applyAlignment="1">
      <alignment horizontal="center"/>
    </xf>
    <xf numFmtId="1" fontId="5" fillId="27" borderId="42" xfId="0" applyNumberFormat="1" applyFont="1" applyFill="1" applyBorder="1" applyAlignment="1">
      <alignment horizontal="center"/>
    </xf>
    <xf numFmtId="1" fontId="5" fillId="3" borderId="44" xfId="0" applyNumberFormat="1" applyFont="1" applyFill="1" applyBorder="1" applyAlignment="1">
      <alignment horizontal="center"/>
    </xf>
    <xf numFmtId="2" fontId="5" fillId="3" borderId="44" xfId="0" applyNumberFormat="1" applyFont="1" applyFill="1" applyBorder="1" applyAlignment="1">
      <alignment horizontal="center"/>
    </xf>
    <xf numFmtId="10" fontId="5" fillId="3" borderId="57" xfId="0" applyNumberFormat="1" applyFont="1" applyFill="1" applyBorder="1" applyAlignment="1">
      <alignment horizontal="center"/>
    </xf>
    <xf numFmtId="0" fontId="5" fillId="5" borderId="58" xfId="0" applyFont="1" applyFill="1" applyBorder="1" applyAlignment="1">
      <alignment horizontal="center"/>
    </xf>
    <xf numFmtId="1" fontId="5" fillId="5" borderId="59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166" fontId="0" fillId="2" borderId="52" xfId="0" applyNumberFormat="1" applyFill="1" applyBorder="1" applyAlignment="1">
      <alignment horizontal="center"/>
    </xf>
    <xf numFmtId="166" fontId="0" fillId="2" borderId="11" xfId="0" applyNumberFormat="1" applyFill="1" applyBorder="1" applyAlignment="1">
      <alignment horizontal="center"/>
    </xf>
    <xf numFmtId="166" fontId="0" fillId="2" borderId="12" xfId="0" applyNumberFormat="1" applyFill="1" applyBorder="1" applyAlignment="1">
      <alignment horizontal="center"/>
    </xf>
    <xf numFmtId="166" fontId="0" fillId="5" borderId="47" xfId="0" applyNumberFormat="1" applyFill="1" applyBorder="1"/>
    <xf numFmtId="1" fontId="11" fillId="27" borderId="11" xfId="0" applyNumberFormat="1" applyFont="1" applyFill="1" applyBorder="1" applyAlignment="1">
      <alignment horizontal="center"/>
    </xf>
    <xf numFmtId="1" fontId="11" fillId="27" borderId="6" xfId="0" applyNumberFormat="1" applyFont="1" applyFill="1" applyBorder="1" applyAlignment="1">
      <alignment horizontal="center"/>
    </xf>
    <xf numFmtId="1" fontId="12" fillId="27" borderId="6" xfId="0" applyNumberFormat="1" applyFont="1" applyFill="1" applyBorder="1" applyAlignment="1">
      <alignment horizontal="center"/>
    </xf>
    <xf numFmtId="1" fontId="11" fillId="27" borderId="4" xfId="0" applyNumberFormat="1" applyFont="1" applyFill="1" applyBorder="1" applyAlignment="1">
      <alignment horizontal="center"/>
    </xf>
    <xf numFmtId="1" fontId="5" fillId="27" borderId="6" xfId="0" applyNumberFormat="1" applyFont="1" applyFill="1" applyBorder="1" applyAlignment="1">
      <alignment horizontal="center"/>
    </xf>
    <xf numFmtId="1" fontId="11" fillId="27" borderId="44" xfId="0" applyNumberFormat="1" applyFont="1" applyFill="1" applyBorder="1" applyAlignment="1">
      <alignment horizontal="center"/>
    </xf>
    <xf numFmtId="6" fontId="12" fillId="5" borderId="40" xfId="0" applyNumberFormat="1" applyFont="1" applyFill="1" applyBorder="1"/>
    <xf numFmtId="166" fontId="0" fillId="2" borderId="18" xfId="0" applyNumberFormat="1" applyFill="1" applyBorder="1" applyAlignment="1">
      <alignment horizontal="center"/>
    </xf>
    <xf numFmtId="6" fontId="6" fillId="24" borderId="3" xfId="0" applyNumberFormat="1" applyFont="1" applyFill="1" applyBorder="1"/>
    <xf numFmtId="164" fontId="1" fillId="27" borderId="3" xfId="0" applyNumberFormat="1" applyFont="1" applyFill="1" applyBorder="1" applyAlignment="1">
      <alignment horizontal="right"/>
    </xf>
    <xf numFmtId="3" fontId="1" fillId="27" borderId="1" xfId="0" applyNumberFormat="1" applyFont="1" applyFill="1" applyBorder="1" applyAlignment="1">
      <alignment horizontal="center"/>
    </xf>
    <xf numFmtId="10" fontId="1" fillId="15" borderId="24" xfId="0" applyNumberFormat="1" applyFont="1" applyFill="1" applyBorder="1"/>
    <xf numFmtId="0" fontId="6" fillId="18" borderId="2" xfId="0" applyFont="1" applyFill="1" applyBorder="1" applyAlignment="1">
      <alignment horizontal="left"/>
    </xf>
    <xf numFmtId="164" fontId="6" fillId="18" borderId="3" xfId="0" applyNumberFormat="1" applyFont="1" applyFill="1" applyBorder="1" applyAlignment="1">
      <alignment horizontal="center"/>
    </xf>
    <xf numFmtId="3" fontId="1" fillId="18" borderId="3" xfId="0" applyNumberFormat="1" applyFont="1" applyFill="1" applyBorder="1" applyAlignment="1">
      <alignment horizontal="center"/>
    </xf>
    <xf numFmtId="169" fontId="1" fillId="18" borderId="1" xfId="0" applyNumberFormat="1" applyFont="1" applyFill="1" applyBorder="1"/>
    <xf numFmtId="0" fontId="3" fillId="24" borderId="22" xfId="0" applyFont="1" applyFill="1" applyBorder="1" applyAlignment="1">
      <alignment horizontal="left"/>
    </xf>
    <xf numFmtId="0" fontId="0" fillId="0" borderId="0" xfId="0" applyBorder="1"/>
    <xf numFmtId="0" fontId="0" fillId="0" borderId="39" xfId="0" applyBorder="1"/>
    <xf numFmtId="0" fontId="2" fillId="23" borderId="58" xfId="0" applyFont="1" applyFill="1" applyBorder="1" applyAlignment="1">
      <alignment horizontal="left"/>
    </xf>
    <xf numFmtId="6" fontId="2" fillId="23" borderId="14" xfId="0" applyNumberFormat="1" applyFont="1" applyFill="1" applyBorder="1"/>
    <xf numFmtId="164" fontId="2" fillId="23" borderId="14" xfId="0" applyNumberFormat="1" applyFont="1" applyFill="1" applyBorder="1"/>
    <xf numFmtId="3" fontId="2" fillId="23" borderId="14" xfId="0" applyNumberFormat="1" applyFont="1" applyFill="1" applyBorder="1" applyAlignment="1">
      <alignment horizontal="center"/>
    </xf>
    <xf numFmtId="10" fontId="2" fillId="23" borderId="60" xfId="0" applyNumberFormat="1" applyFont="1" applyFill="1" applyBorder="1"/>
    <xf numFmtId="0" fontId="6" fillId="30" borderId="22" xfId="0" applyFont="1" applyFill="1" applyBorder="1" applyAlignment="1">
      <alignment horizontal="left"/>
    </xf>
    <xf numFmtId="6" fontId="6" fillId="30" borderId="1" xfId="0" applyNumberFormat="1" applyFont="1" applyFill="1" applyBorder="1"/>
    <xf numFmtId="164" fontId="6" fillId="30" borderId="1" xfId="0" applyNumberFormat="1" applyFont="1" applyFill="1" applyBorder="1"/>
    <xf numFmtId="3" fontId="6" fillId="30" borderId="1" xfId="0" applyNumberFormat="1" applyFont="1" applyFill="1" applyBorder="1" applyAlignment="1">
      <alignment horizontal="center"/>
    </xf>
    <xf numFmtId="10" fontId="6" fillId="30" borderId="24" xfId="0" applyNumberFormat="1" applyFont="1" applyFill="1" applyBorder="1"/>
    <xf numFmtId="0" fontId="3" fillId="31" borderId="10" xfId="0" applyFont="1" applyFill="1" applyBorder="1" applyAlignment="1">
      <alignment horizontal="left"/>
    </xf>
    <xf numFmtId="6" fontId="3" fillId="31" borderId="7" xfId="0" applyNumberFormat="1" applyFont="1" applyFill="1" applyBorder="1"/>
    <xf numFmtId="164" fontId="3" fillId="31" borderId="1" xfId="0" applyNumberFormat="1" applyFont="1" applyFill="1" applyBorder="1"/>
    <xf numFmtId="3" fontId="3" fillId="31" borderId="7" xfId="0" applyNumberFormat="1" applyFont="1" applyFill="1" applyBorder="1" applyAlignment="1">
      <alignment horizontal="center"/>
    </xf>
    <xf numFmtId="10" fontId="3" fillId="31" borderId="20" xfId="0" applyNumberFormat="1" applyFont="1" applyFill="1" applyBorder="1"/>
    <xf numFmtId="0" fontId="4" fillId="31" borderId="10" xfId="0" applyFont="1" applyFill="1" applyBorder="1" applyAlignment="1">
      <alignment horizontal="left"/>
    </xf>
    <xf numFmtId="6" fontId="4" fillId="31" borderId="5" xfId="0" applyNumberFormat="1" applyFont="1" applyFill="1" applyBorder="1"/>
    <xf numFmtId="164" fontId="3" fillId="31" borderId="3" xfId="0" applyNumberFormat="1" applyFont="1" applyFill="1" applyBorder="1" applyAlignment="1">
      <alignment horizontal="right"/>
    </xf>
    <xf numFmtId="0" fontId="4" fillId="31" borderId="25" xfId="0" applyFont="1" applyFill="1" applyBorder="1" applyAlignment="1">
      <alignment horizontal="left"/>
    </xf>
    <xf numFmtId="6" fontId="4" fillId="31" borderId="43" xfId="0" applyNumberFormat="1" applyFont="1" applyFill="1" applyBorder="1"/>
    <xf numFmtId="164" fontId="3" fillId="31" borderId="43" xfId="0" applyNumberFormat="1" applyFont="1" applyFill="1" applyBorder="1" applyAlignment="1">
      <alignment horizontal="right"/>
    </xf>
    <xf numFmtId="3" fontId="3" fillId="31" borderId="29" xfId="0" applyNumberFormat="1" applyFont="1" applyFill="1" applyBorder="1" applyAlignment="1">
      <alignment horizontal="center"/>
    </xf>
    <xf numFmtId="10" fontId="3" fillId="31" borderId="40" xfId="0" applyNumberFormat="1" applyFont="1" applyFill="1" applyBorder="1"/>
    <xf numFmtId="0" fontId="2" fillId="11" borderId="54" xfId="0" applyFont="1" applyFill="1" applyBorder="1"/>
    <xf numFmtId="14" fontId="5" fillId="28" borderId="11" xfId="0" applyNumberFormat="1" applyFont="1" applyFill="1" applyBorder="1" applyAlignment="1">
      <alignment horizontal="center"/>
    </xf>
    <xf numFmtId="14" fontId="5" fillId="28" borderId="4" xfId="0" applyNumberFormat="1" applyFont="1" applyFill="1" applyBorder="1" applyAlignment="1">
      <alignment horizontal="center"/>
    </xf>
    <xf numFmtId="14" fontId="5" fillId="29" borderId="11" xfId="0" applyNumberFormat="1" applyFont="1" applyFill="1" applyBorder="1" applyAlignment="1">
      <alignment horizontal="center"/>
    </xf>
    <xf numFmtId="14" fontId="5" fillId="29" borderId="4" xfId="0" applyNumberFormat="1" applyFont="1" applyFill="1" applyBorder="1" applyAlignment="1">
      <alignment horizontal="center"/>
    </xf>
    <xf numFmtId="14" fontId="5" fillId="3" borderId="3" xfId="0" applyNumberFormat="1" applyFont="1" applyFill="1" applyBorder="1" applyAlignment="1">
      <alignment horizontal="center"/>
    </xf>
    <xf numFmtId="0" fontId="7" fillId="11" borderId="45" xfId="0" applyFont="1" applyFill="1" applyBorder="1"/>
    <xf numFmtId="0" fontId="7" fillId="11" borderId="3" xfId="0" applyFont="1" applyFill="1" applyBorder="1"/>
    <xf numFmtId="0" fontId="7" fillId="11" borderId="3" xfId="0" applyFont="1" applyFill="1" applyBorder="1" applyAlignment="1">
      <alignment horizontal="center"/>
    </xf>
    <xf numFmtId="0" fontId="7" fillId="11" borderId="24" xfId="0" applyFont="1" applyFill="1" applyBorder="1" applyAlignment="1">
      <alignment horizontal="center"/>
    </xf>
    <xf numFmtId="0" fontId="0" fillId="33" borderId="22" xfId="0" applyFont="1" applyFill="1" applyBorder="1"/>
    <xf numFmtId="0" fontId="0" fillId="33" borderId="47" xfId="0" applyFill="1" applyBorder="1"/>
    <xf numFmtId="1" fontId="5" fillId="3" borderId="24" xfId="0" applyNumberFormat="1" applyFont="1" applyFill="1" applyBorder="1" applyAlignment="1">
      <alignment horizontal="center"/>
    </xf>
    <xf numFmtId="0" fontId="0" fillId="33" borderId="22" xfId="0" applyFill="1" applyBorder="1"/>
    <xf numFmtId="9" fontId="5" fillId="3" borderId="3" xfId="0" applyNumberFormat="1" applyFont="1" applyFill="1" applyBorder="1" applyAlignment="1">
      <alignment horizontal="center"/>
    </xf>
    <xf numFmtId="9" fontId="5" fillId="3" borderId="24" xfId="0" applyNumberFormat="1" applyFont="1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164" fontId="1" fillId="3" borderId="8" xfId="0" applyNumberFormat="1" applyFont="1" applyFill="1" applyBorder="1"/>
    <xf numFmtId="0" fontId="2" fillId="11" borderId="22" xfId="0" applyFont="1" applyFill="1" applyBorder="1" applyAlignment="1">
      <alignment horizontal="center"/>
    </xf>
    <xf numFmtId="0" fontId="3" fillId="34" borderId="10" xfId="0" applyFont="1" applyFill="1" applyBorder="1" applyAlignment="1">
      <alignment horizontal="left"/>
    </xf>
    <xf numFmtId="10" fontId="3" fillId="5" borderId="20" xfId="0" applyNumberFormat="1" applyFont="1" applyFill="1" applyBorder="1"/>
    <xf numFmtId="0" fontId="3" fillId="13" borderId="22" xfId="0" applyFont="1" applyFill="1" applyBorder="1" applyAlignment="1">
      <alignment horizontal="center"/>
    </xf>
    <xf numFmtId="0" fontId="4" fillId="24" borderId="22" xfId="0" applyFont="1" applyFill="1" applyBorder="1" applyAlignment="1">
      <alignment horizontal="left"/>
    </xf>
    <xf numFmtId="0" fontId="2" fillId="11" borderId="22" xfId="0" applyFont="1" applyFill="1" applyBorder="1"/>
    <xf numFmtId="0" fontId="3" fillId="11" borderId="45" xfId="0" applyFont="1" applyFill="1" applyBorder="1"/>
    <xf numFmtId="0" fontId="3" fillId="11" borderId="54" xfId="0" applyFont="1" applyFill="1" applyBorder="1"/>
    <xf numFmtId="0" fontId="0" fillId="0" borderId="31" xfId="0" applyBorder="1"/>
    <xf numFmtId="0" fontId="2" fillId="23" borderId="58" xfId="0" applyFont="1" applyFill="1" applyBorder="1" applyAlignment="1">
      <alignment horizontal="center"/>
    </xf>
    <xf numFmtId="0" fontId="6" fillId="30" borderId="22" xfId="0" applyFont="1" applyFill="1" applyBorder="1" applyAlignment="1">
      <alignment horizontal="center"/>
    </xf>
    <xf numFmtId="0" fontId="3" fillId="31" borderId="19" xfId="0" applyFont="1" applyFill="1" applyBorder="1" applyAlignment="1">
      <alignment horizontal="center"/>
    </xf>
    <xf numFmtId="3" fontId="3" fillId="31" borderId="3" xfId="0" applyNumberFormat="1" applyFont="1" applyFill="1" applyBorder="1" applyAlignment="1">
      <alignment horizontal="center"/>
    </xf>
    <xf numFmtId="10" fontId="3" fillId="31" borderId="24" xfId="0" applyNumberFormat="1" applyFont="1" applyFill="1" applyBorder="1"/>
    <xf numFmtId="0" fontId="3" fillId="31" borderId="61" xfId="0" applyFont="1" applyFill="1" applyBorder="1" applyAlignment="1">
      <alignment horizontal="center"/>
    </xf>
    <xf numFmtId="170" fontId="3" fillId="9" borderId="21" xfId="0" applyNumberFormat="1" applyFont="1" applyFill="1" applyBorder="1"/>
    <xf numFmtId="0" fontId="3" fillId="32" borderId="0" xfId="0" applyFont="1" applyFill="1" applyBorder="1"/>
    <xf numFmtId="6" fontId="3" fillId="32" borderId="6" xfId="0" applyNumberFormat="1" applyFont="1" applyFill="1" applyBorder="1"/>
    <xf numFmtId="170" fontId="3" fillId="32" borderId="21" xfId="0" applyNumberFormat="1" applyFont="1" applyFill="1" applyBorder="1"/>
    <xf numFmtId="6" fontId="1" fillId="3" borderId="4" xfId="0" applyNumberFormat="1" applyFont="1" applyFill="1" applyBorder="1"/>
    <xf numFmtId="10" fontId="3" fillId="10" borderId="18" xfId="0" applyNumberFormat="1" applyFont="1" applyFill="1" applyBorder="1"/>
    <xf numFmtId="170" fontId="0" fillId="0" borderId="0" xfId="0" applyNumberFormat="1"/>
    <xf numFmtId="0" fontId="3" fillId="35" borderId="22" xfId="0" applyFont="1" applyFill="1" applyBorder="1" applyAlignment="1">
      <alignment horizontal="center"/>
    </xf>
    <xf numFmtId="0" fontId="2" fillId="35" borderId="2" xfId="0" applyFont="1" applyFill="1" applyBorder="1" applyAlignment="1">
      <alignment horizontal="left"/>
    </xf>
    <xf numFmtId="165" fontId="2" fillId="35" borderId="3" xfId="0" applyNumberFormat="1" applyFont="1" applyFill="1" applyBorder="1"/>
    <xf numFmtId="164" fontId="2" fillId="35" borderId="3" xfId="0" applyNumberFormat="1" applyFont="1" applyFill="1" applyBorder="1" applyAlignment="1">
      <alignment horizontal="center"/>
    </xf>
    <xf numFmtId="3" fontId="2" fillId="35" borderId="1" xfId="0" applyNumberFormat="1" applyFont="1" applyFill="1" applyBorder="1" applyAlignment="1">
      <alignment horizontal="center"/>
    </xf>
    <xf numFmtId="0" fontId="3" fillId="36" borderId="22" xfId="0" applyFont="1" applyFill="1" applyBorder="1" applyAlignment="1">
      <alignment horizontal="center"/>
    </xf>
    <xf numFmtId="0" fontId="2" fillId="36" borderId="2" xfId="0" applyFont="1" applyFill="1" applyBorder="1" applyAlignment="1">
      <alignment horizontal="left"/>
    </xf>
    <xf numFmtId="165" fontId="2" fillId="36" borderId="3" xfId="0" applyNumberFormat="1" applyFont="1" applyFill="1" applyBorder="1"/>
    <xf numFmtId="164" fontId="2" fillId="36" borderId="3" xfId="0" applyNumberFormat="1" applyFont="1" applyFill="1" applyBorder="1" applyAlignment="1">
      <alignment horizontal="center"/>
    </xf>
    <xf numFmtId="3" fontId="2" fillId="36" borderId="1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3" fillId="2" borderId="47" xfId="0" applyFont="1" applyFill="1" applyBorder="1"/>
    <xf numFmtId="6" fontId="1" fillId="2" borderId="3" xfId="0" applyNumberFormat="1" applyFont="1" applyFill="1" applyBorder="1"/>
    <xf numFmtId="3" fontId="1" fillId="2" borderId="3" xfId="0" applyNumberFormat="1" applyFont="1" applyFill="1" applyBorder="1" applyAlignment="1">
      <alignment horizontal="center"/>
    </xf>
    <xf numFmtId="10" fontId="1" fillId="2" borderId="24" xfId="0" applyNumberFormat="1" applyFont="1" applyFill="1" applyBorder="1"/>
    <xf numFmtId="0" fontId="1" fillId="37" borderId="22" xfId="0" applyFont="1" applyFill="1" applyBorder="1"/>
    <xf numFmtId="0" fontId="3" fillId="37" borderId="47" xfId="0" applyFont="1" applyFill="1" applyBorder="1"/>
    <xf numFmtId="6" fontId="1" fillId="37" borderId="3" xfId="0" applyNumberFormat="1" applyFont="1" applyFill="1" applyBorder="1"/>
    <xf numFmtId="3" fontId="1" fillId="37" borderId="3" xfId="0" applyNumberFormat="1" applyFont="1" applyFill="1" applyBorder="1" applyAlignment="1">
      <alignment horizontal="center"/>
    </xf>
    <xf numFmtId="10" fontId="1" fillId="37" borderId="24" xfId="0" applyNumberFormat="1" applyFont="1" applyFill="1" applyBorder="1"/>
    <xf numFmtId="0" fontId="3" fillId="38" borderId="22" xfId="0" applyFont="1" applyFill="1" applyBorder="1" applyAlignment="1">
      <alignment horizontal="left"/>
    </xf>
    <xf numFmtId="0" fontId="4" fillId="38" borderId="22" xfId="0" applyFont="1" applyFill="1" applyBorder="1" applyAlignment="1">
      <alignment horizontal="left"/>
    </xf>
    <xf numFmtId="6" fontId="6" fillId="38" borderId="3" xfId="0" applyNumberFormat="1" applyFont="1" applyFill="1" applyBorder="1"/>
    <xf numFmtId="0" fontId="4" fillId="18" borderId="22" xfId="0" applyFont="1" applyFill="1" applyBorder="1" applyAlignment="1">
      <alignment horizontal="center"/>
    </xf>
    <xf numFmtId="0" fontId="0" fillId="18" borderId="53" xfId="0" applyFill="1" applyBorder="1"/>
    <xf numFmtId="0" fontId="5" fillId="18" borderId="0" xfId="0" applyFont="1" applyFill="1" applyBorder="1" applyAlignment="1">
      <alignment horizontal="center"/>
    </xf>
    <xf numFmtId="0" fontId="0" fillId="18" borderId="0" xfId="0" applyFill="1" applyBorder="1"/>
    <xf numFmtId="0" fontId="0" fillId="18" borderId="39" xfId="0" applyFill="1" applyBorder="1"/>
    <xf numFmtId="170" fontId="3" fillId="5" borderId="21" xfId="0" applyNumberFormat="1" applyFont="1" applyFill="1" applyBorder="1"/>
    <xf numFmtId="10" fontId="0" fillId="2" borderId="37" xfId="0" applyNumberFormat="1" applyFill="1" applyBorder="1" applyAlignment="1">
      <alignment horizontal="center"/>
    </xf>
    <xf numFmtId="10" fontId="0" fillId="2" borderId="6" xfId="0" applyNumberFormat="1" applyFill="1" applyBorder="1" applyAlignment="1">
      <alignment horizontal="center"/>
    </xf>
    <xf numFmtId="166" fontId="0" fillId="2" borderId="6" xfId="0" applyNumberFormat="1" applyFill="1" applyBorder="1" applyAlignment="1">
      <alignment horizontal="center"/>
    </xf>
    <xf numFmtId="166" fontId="0" fillId="2" borderId="21" xfId="0" applyNumberFormat="1" applyFill="1" applyBorder="1" applyAlignment="1">
      <alignment horizontal="center"/>
    </xf>
    <xf numFmtId="166" fontId="0" fillId="5" borderId="3" xfId="0" applyNumberFormat="1" applyFill="1" applyBorder="1" applyAlignment="1">
      <alignment horizontal="center"/>
    </xf>
    <xf numFmtId="171" fontId="0" fillId="5" borderId="24" xfId="0" applyNumberFormat="1" applyFill="1" applyBorder="1" applyAlignment="1">
      <alignment horizontal="center"/>
    </xf>
    <xf numFmtId="165" fontId="5" fillId="39" borderId="5" xfId="0" applyNumberFormat="1" applyFont="1" applyFill="1" applyBorder="1" applyAlignment="1">
      <alignment horizontal="center"/>
    </xf>
    <xf numFmtId="172" fontId="5" fillId="40" borderId="21" xfId="0" applyNumberFormat="1" applyFont="1" applyFill="1" applyBorder="1" applyAlignment="1">
      <alignment horizontal="center"/>
    </xf>
    <xf numFmtId="165" fontId="0" fillId="39" borderId="6" xfId="0" applyNumberFormat="1" applyFont="1" applyFill="1" applyBorder="1" applyAlignment="1">
      <alignment horizontal="center"/>
    </xf>
    <xf numFmtId="172" fontId="0" fillId="40" borderId="21" xfId="0" applyNumberFormat="1" applyFont="1" applyFill="1" applyBorder="1" applyAlignment="1">
      <alignment horizontal="center"/>
    </xf>
    <xf numFmtId="165" fontId="0" fillId="39" borderId="4" xfId="0" applyNumberFormat="1" applyFont="1" applyFill="1" applyBorder="1" applyAlignment="1">
      <alignment horizontal="center"/>
    </xf>
    <xf numFmtId="172" fontId="0" fillId="40" borderId="18" xfId="0" applyNumberFormat="1" applyFont="1" applyFill="1" applyBorder="1" applyAlignment="1">
      <alignment horizontal="center"/>
    </xf>
    <xf numFmtId="165" fontId="5" fillId="6" borderId="5" xfId="0" applyNumberFormat="1" applyFont="1" applyFill="1" applyBorder="1" applyAlignment="1">
      <alignment horizontal="center"/>
    </xf>
    <xf numFmtId="172" fontId="5" fillId="41" borderId="21" xfId="0" applyNumberFormat="1" applyFont="1" applyFill="1" applyBorder="1" applyAlignment="1">
      <alignment horizontal="center"/>
    </xf>
    <xf numFmtId="165" fontId="0" fillId="6" borderId="6" xfId="0" applyNumberFormat="1" applyFont="1" applyFill="1" applyBorder="1" applyAlignment="1">
      <alignment horizontal="center"/>
    </xf>
    <xf numFmtId="172" fontId="0" fillId="41" borderId="21" xfId="0" applyNumberFormat="1" applyFont="1" applyFill="1" applyBorder="1" applyAlignment="1">
      <alignment horizontal="center"/>
    </xf>
    <xf numFmtId="165" fontId="0" fillId="6" borderId="4" xfId="0" applyNumberFormat="1" applyFont="1" applyFill="1" applyBorder="1" applyAlignment="1">
      <alignment horizontal="center"/>
    </xf>
    <xf numFmtId="172" fontId="5" fillId="40" borderId="20" xfId="0" applyNumberFormat="1" applyFont="1" applyFill="1" applyBorder="1" applyAlignment="1">
      <alignment horizontal="center"/>
    </xf>
    <xf numFmtId="172" fontId="5" fillId="41" borderId="20" xfId="0" applyNumberFormat="1" applyFont="1" applyFill="1" applyBorder="1" applyAlignment="1">
      <alignment horizontal="center"/>
    </xf>
    <xf numFmtId="165" fontId="0" fillId="6" borderId="44" xfId="0" applyNumberFormat="1" applyFont="1" applyFill="1" applyBorder="1" applyAlignment="1">
      <alignment horizontal="center"/>
    </xf>
    <xf numFmtId="172" fontId="0" fillId="41" borderId="57" xfId="0" applyNumberFormat="1" applyFont="1" applyFill="1" applyBorder="1" applyAlignment="1">
      <alignment horizontal="center"/>
    </xf>
    <xf numFmtId="6" fontId="3" fillId="0" borderId="0" xfId="0" applyNumberFormat="1" applyFont="1"/>
    <xf numFmtId="6" fontId="3" fillId="15" borderId="0" xfId="0" applyNumberFormat="1" applyFont="1" applyFill="1"/>
    <xf numFmtId="6" fontId="3" fillId="2" borderId="0" xfId="0" applyNumberFormat="1" applyFont="1" applyFill="1"/>
    <xf numFmtId="6" fontId="1" fillId="5" borderId="6" xfId="0" applyNumberFormat="1" applyFont="1" applyFill="1" applyBorder="1"/>
    <xf numFmtId="166" fontId="8" fillId="20" borderId="24" xfId="0" applyNumberFormat="1" applyFont="1" applyFill="1" applyBorder="1"/>
    <xf numFmtId="0" fontId="9" fillId="11" borderId="2" xfId="0" applyFont="1" applyFill="1" applyBorder="1"/>
    <xf numFmtId="0" fontId="8" fillId="11" borderId="2" xfId="0" applyFont="1" applyFill="1" applyBorder="1"/>
    <xf numFmtId="0" fontId="8" fillId="11" borderId="47" xfId="0" applyFont="1" applyFill="1" applyBorder="1"/>
    <xf numFmtId="6" fontId="12" fillId="5" borderId="24" xfId="0" applyNumberFormat="1" applyFont="1" applyFill="1" applyBorder="1"/>
    <xf numFmtId="6" fontId="0" fillId="2" borderId="47" xfId="0" applyNumberFormat="1" applyFill="1" applyBorder="1"/>
    <xf numFmtId="0" fontId="0" fillId="3" borderId="22" xfId="0" applyFill="1" applyBorder="1"/>
    <xf numFmtId="0" fontId="0" fillId="3" borderId="2" xfId="0" applyFill="1" applyBorder="1"/>
    <xf numFmtId="6" fontId="5" fillId="15" borderId="24" xfId="0" applyNumberFormat="1" applyFont="1" applyFill="1" applyBorder="1"/>
    <xf numFmtId="0" fontId="0" fillId="15" borderId="22" xfId="0" applyFill="1" applyBorder="1"/>
    <xf numFmtId="0" fontId="0" fillId="15" borderId="2" xfId="0" applyFill="1" applyBorder="1"/>
    <xf numFmtId="6" fontId="13" fillId="3" borderId="24" xfId="0" applyNumberFormat="1" applyFont="1" applyFill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0000FF"/>
      <color rgb="FF27457B"/>
      <color rgb="FFC7A1E3"/>
      <color rgb="FFD5B8EA"/>
      <color rgb="FF9E5ECE"/>
      <color rgb="FF893BC3"/>
      <color rgb="FF305496"/>
      <color rgb="FFBEE395"/>
      <color rgb="FFC39BE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Диаграмма</a:t>
            </a:r>
          </a:p>
          <a:p>
            <a:pPr>
              <a:defRPr/>
            </a:pPr>
            <a:r>
              <a:rPr lang="ru-RU" sz="1100"/>
              <a:t>системного расширения развития "реального проекта"</a:t>
            </a:r>
          </a:p>
          <a:p>
            <a:pPr>
              <a:defRPr/>
            </a:pPr>
            <a:r>
              <a:rPr lang="ru-RU" sz="1100"/>
              <a:t>за</a:t>
            </a:r>
            <a:r>
              <a:rPr lang="ru-RU" sz="1100" baseline="0"/>
              <a:t> счет "внутренних ресурсов"</a:t>
            </a:r>
            <a:r>
              <a:rPr lang="ru-RU" sz="1100"/>
              <a:t> и "затухания" значения денег</a:t>
            </a:r>
            <a:endParaRPr lang="de-DE" sz="1100"/>
          </a:p>
        </c:rich>
      </c:tx>
      <c:layout>
        <c:manualLayout>
          <c:xMode val="edge"/>
          <c:yMode val="edge"/>
          <c:x val="0.10192789059262329"/>
          <c:y val="1.8842530282637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9115632429602805"/>
          <c:y val="0.21963883384025182"/>
          <c:w val="0.78668301088402726"/>
          <c:h val="0.67755767743029427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Tabelle1!$M$7:$M$26</c:f>
              <c:numCache>
                <c:formatCode>#,##0" ISKR"</c:formatCode>
                <c:ptCount val="20"/>
                <c:pt idx="0">
                  <c:v>51627.833313536357</c:v>
                </c:pt>
                <c:pt idx="1">
                  <c:v>67543.180425228042</c:v>
                </c:pt>
                <c:pt idx="2">
                  <c:v>88092.031612797466</c:v>
                </c:pt>
                <c:pt idx="3">
                  <c:v>114494.96545752951</c:v>
                </c:pt>
                <c:pt idx="4">
                  <c:v>148230.08920840881</c:v>
                </c:pt>
                <c:pt idx="5">
                  <c:v>191052.11497972696</c:v>
                </c:pt>
                <c:pt idx="6">
                  <c:v>244988.59641958197</c:v>
                </c:pt>
                <c:pt idx="7">
                  <c:v>312293.15587551123</c:v>
                </c:pt>
                <c:pt idx="8">
                  <c:v>395323.47906463541</c:v>
                </c:pt>
                <c:pt idx="9">
                  <c:v>496293.54514607944</c:v>
                </c:pt>
                <c:pt idx="10">
                  <c:v>616821.97753869905</c:v>
                </c:pt>
                <c:pt idx="11">
                  <c:v>757157.13644962024</c:v>
                </c:pt>
                <c:pt idx="12">
                  <c:v>914898.20654329145</c:v>
                </c:pt>
                <c:pt idx="13">
                  <c:v>1082940.7342757334</c:v>
                </c:pt>
                <c:pt idx="14">
                  <c:v>1246241.321190329</c:v>
                </c:pt>
                <c:pt idx="15">
                  <c:v>1376799.9357912219</c:v>
                </c:pt>
                <c:pt idx="16">
                  <c:v>1425971.3620694813</c:v>
                </c:pt>
                <c:pt idx="17">
                  <c:v>1312799.0317465093</c:v>
                </c:pt>
                <c:pt idx="18">
                  <c:v>906456.47430116625</c:v>
                </c:pt>
                <c:pt idx="19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B-4B61-9324-92E11282E505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Tabelle1!$N$7:$N$26</c:f>
              <c:numCache>
                <c:formatCode>"€"#,##0_);[Red]\("€"#,##0\)</c:formatCode>
                <c:ptCount val="20"/>
                <c:pt idx="0">
                  <c:v>65541.534391534413</c:v>
                </c:pt>
                <c:pt idx="1">
                  <c:v>90509.737969261841</c:v>
                </c:pt>
                <c:pt idx="2">
                  <c:v>124989.6381480283</c:v>
                </c:pt>
                <c:pt idx="3">
                  <c:v>172604.73839489627</c:v>
                </c:pt>
                <c:pt idx="4">
                  <c:v>238358.92445009493</c:v>
                </c:pt>
                <c:pt idx="5">
                  <c:v>329162.32424060733</c:v>
                </c:pt>
                <c:pt idx="6">
                  <c:v>454557.49537988647</c:v>
                </c:pt>
                <c:pt idx="7">
                  <c:v>627722.2555246054</c:v>
                </c:pt>
                <c:pt idx="8">
                  <c:v>866854.54334350291</c:v>
                </c:pt>
                <c:pt idx="9">
                  <c:v>1197084.8455695997</c:v>
                </c:pt>
                <c:pt idx="10">
                  <c:v>1653117.1676913525</c:v>
                </c:pt>
                <c:pt idx="11">
                  <c:v>2282876.0887166304</c:v>
                </c:pt>
                <c:pt idx="12">
                  <c:v>3152543.1701324903</c:v>
                </c:pt>
                <c:pt idx="13">
                  <c:v>4353511.996849631</c:v>
                </c:pt>
                <c:pt idx="14">
                  <c:v>6011992.7575542545</c:v>
                </c:pt>
                <c:pt idx="15">
                  <c:v>8302275.7128130207</c:v>
                </c:pt>
                <c:pt idx="16">
                  <c:v>11465047.412932269</c:v>
                </c:pt>
                <c:pt idx="17">
                  <c:v>15832684.522620756</c:v>
                </c:pt>
                <c:pt idx="18">
                  <c:v>21864183.388381053</c:v>
                </c:pt>
                <c:pt idx="19">
                  <c:v>30193396.107764322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0B-4B61-9324-92E11282E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00160"/>
        <c:axId val="260675120"/>
      </c:lineChart>
      <c:catAx>
        <c:axId val="932001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0675120"/>
        <c:crosses val="autoZero"/>
        <c:auto val="1"/>
        <c:lblAlgn val="ctr"/>
        <c:lblOffset val="100"/>
        <c:noMultiLvlLbl val="0"/>
      </c:catAx>
      <c:valAx>
        <c:axId val="26067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&quot; ISKR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20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Диаграмма</a:t>
            </a:r>
          </a:p>
          <a:p>
            <a:pPr>
              <a:defRPr/>
            </a:pPr>
            <a:r>
              <a:rPr lang="ru-RU" sz="1100"/>
              <a:t>системного расширения развития "реального проекта"</a:t>
            </a:r>
          </a:p>
          <a:p>
            <a:pPr>
              <a:defRPr/>
            </a:pPr>
            <a:r>
              <a:rPr lang="ru-RU" sz="1100"/>
              <a:t>за</a:t>
            </a:r>
            <a:r>
              <a:rPr lang="ru-RU" sz="1100" baseline="0"/>
              <a:t> счет "внутренних ресурсов"</a:t>
            </a:r>
            <a:r>
              <a:rPr lang="ru-RU" sz="1100"/>
              <a:t> и "затухания" значения денег</a:t>
            </a:r>
            <a:endParaRPr lang="de-DE" sz="1100"/>
          </a:p>
        </c:rich>
      </c:tx>
      <c:layout>
        <c:manualLayout>
          <c:xMode val="edge"/>
          <c:yMode val="edge"/>
          <c:x val="0.10192789059262329"/>
          <c:y val="1.8842530282637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9115632429602805"/>
          <c:y val="0.21963883384025182"/>
          <c:w val="0.78668301088402726"/>
          <c:h val="0.67755767743029427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[1]Tabelle1!$M$7:$M$26</c:f>
              <c:numCache>
                <c:formatCode>General</c:formatCode>
                <c:ptCount val="20"/>
                <c:pt idx="0">
                  <c:v>5438961.7209625095</c:v>
                </c:pt>
                <c:pt idx="1">
                  <c:v>7115634.1311840378</c:v>
                </c:pt>
                <c:pt idx="2">
                  <c:v>9280443.4568088166</c:v>
                </c:pt>
                <c:pt idx="3">
                  <c:v>12061976.929857962</c:v>
                </c:pt>
                <c:pt idx="4">
                  <c:v>15615952.275262548</c:v>
                </c:pt>
                <c:pt idx="5">
                  <c:v>20127227.377005067</c:v>
                </c:pt>
                <c:pt idx="6">
                  <c:v>25809403.813370455</c:v>
                </c:pt>
                <c:pt idx="7">
                  <c:v>32899899.36649422</c:v>
                </c:pt>
                <c:pt idx="8">
                  <c:v>41647094.832982779</c:v>
                </c:pt>
                <c:pt idx="9">
                  <c:v>52284231.608506545</c:v>
                </c:pt>
                <c:pt idx="10">
                  <c:v>64981830.713429593</c:v>
                </c:pt>
                <c:pt idx="11">
                  <c:v>79766056.748760164</c:v>
                </c:pt>
                <c:pt idx="12">
                  <c:v>96383985.23808524</c:v>
                </c:pt>
                <c:pt idx="13">
                  <c:v>114087166.20018262</c:v>
                </c:pt>
                <c:pt idx="14">
                  <c:v>131290786.50021021</c:v>
                </c:pt>
                <c:pt idx="15">
                  <c:v>145045059.37166095</c:v>
                </c:pt>
                <c:pt idx="16">
                  <c:v>150225240.06350616</c:v>
                </c:pt>
                <c:pt idx="17">
                  <c:v>138302601.96322817</c:v>
                </c:pt>
                <c:pt idx="18">
                  <c:v>95494653.736515209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D-4408-B8D3-4628E8F2BD4E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[1]Tabelle1!$N$7:$N$26</c:f>
              <c:numCache>
                <c:formatCode>General</c:formatCode>
                <c:ptCount val="20"/>
                <c:pt idx="0">
                  <c:v>6904761.9047619067</c:v>
                </c:pt>
                <c:pt idx="1">
                  <c:v>9535147.3922902551</c:v>
                </c:pt>
                <c:pt idx="2">
                  <c:v>13167584.49411512</c:v>
                </c:pt>
                <c:pt idx="3">
                  <c:v>18183807.158539932</c:v>
                </c:pt>
                <c:pt idx="4">
                  <c:v>25110971.790364679</c:v>
                </c:pt>
                <c:pt idx="5">
                  <c:v>34677056.281932183</c:v>
                </c:pt>
                <c:pt idx="6">
                  <c:v>47887363.436953984</c:v>
                </c:pt>
                <c:pt idx="7">
                  <c:v>66130168.555793621</c:v>
                </c:pt>
                <c:pt idx="8">
                  <c:v>91322613.719905496</c:v>
                </c:pt>
                <c:pt idx="9">
                  <c:v>126112180.85129809</c:v>
                </c:pt>
                <c:pt idx="10">
                  <c:v>174154916.41369742</c:v>
                </c:pt>
                <c:pt idx="11">
                  <c:v>240499646.47605842</c:v>
                </c:pt>
                <c:pt idx="12">
                  <c:v>332118559.41931885</c:v>
                </c:pt>
                <c:pt idx="13">
                  <c:v>458639915.38858336</c:v>
                </c:pt>
                <c:pt idx="14">
                  <c:v>633359883.15566289</c:v>
                </c:pt>
                <c:pt idx="15">
                  <c:v>874639838.64353478</c:v>
                </c:pt>
                <c:pt idx="16">
                  <c:v>1207835967.6505959</c:v>
                </c:pt>
                <c:pt idx="17">
                  <c:v>1667963955.3270137</c:v>
                </c:pt>
                <c:pt idx="18">
                  <c:v>2303378795.451591</c:v>
                </c:pt>
                <c:pt idx="19">
                  <c:v>3180856431.8141026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D-4408-B8D3-4628E8F2B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00160"/>
        <c:axId val="260675120"/>
      </c:lineChart>
      <c:catAx>
        <c:axId val="9320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0675120"/>
        <c:crosses val="autoZero"/>
        <c:auto val="1"/>
        <c:lblAlgn val="ctr"/>
        <c:lblOffset val="100"/>
        <c:noMultiLvlLbl val="0"/>
      </c:catAx>
      <c:valAx>
        <c:axId val="26067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20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Диаграмма</a:t>
            </a:r>
          </a:p>
          <a:p>
            <a:pPr>
              <a:defRPr/>
            </a:pPr>
            <a:r>
              <a:rPr lang="ru-RU" sz="1100"/>
              <a:t>системного повышения расчётной "покупательной способности"</a:t>
            </a:r>
            <a:r>
              <a:rPr lang="de-DE" sz="1100"/>
              <a:t> </a:t>
            </a:r>
            <a:r>
              <a:rPr lang="ru-RU" sz="1100"/>
              <a:t>"Внутренних</a:t>
            </a:r>
            <a:r>
              <a:rPr lang="ru-RU" sz="1100" baseline="0"/>
              <a:t> Информационных Носителей Обменщиков" </a:t>
            </a:r>
            <a:r>
              <a:rPr lang="de-DE" sz="1100" baseline="0"/>
              <a:t>ISKR</a:t>
            </a:r>
            <a:endParaRPr lang="de-DE" sz="1100"/>
          </a:p>
        </c:rich>
      </c:tx>
      <c:layout>
        <c:manualLayout>
          <c:xMode val="edge"/>
          <c:yMode val="edge"/>
          <c:x val="0.13324774670114795"/>
          <c:y val="3.2283464566929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9115632429602805"/>
          <c:y val="0.21963883384025182"/>
          <c:w val="0.78668301088402726"/>
          <c:h val="0.67755767743029427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FF9B9B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[1]Tabelle1!$O$7:$O$26</c:f>
              <c:numCache>
                <c:formatCode>General</c:formatCode>
                <c:ptCount val="20"/>
                <c:pt idx="0">
                  <c:v>1.2695000000000001</c:v>
                </c:pt>
                <c:pt idx="1">
                  <c:v>1.3400277777777778</c:v>
                </c:pt>
                <c:pt idx="2">
                  <c:v>1.4188529411764705</c:v>
                </c:pt>
                <c:pt idx="3">
                  <c:v>1.5075312499999998</c:v>
                </c:pt>
                <c:pt idx="4">
                  <c:v>1.608033333333333</c:v>
                </c:pt>
                <c:pt idx="5">
                  <c:v>1.7228928571428566</c:v>
                </c:pt>
                <c:pt idx="6">
                  <c:v>1.8554230769230762</c:v>
                </c:pt>
                <c:pt idx="7">
                  <c:v>2.0100416666666656</c:v>
                </c:pt>
                <c:pt idx="8">
                  <c:v>2.1927727272727258</c:v>
                </c:pt>
                <c:pt idx="9">
                  <c:v>2.4120499999999976</c:v>
                </c:pt>
                <c:pt idx="10">
                  <c:v>2.6800555555555525</c:v>
                </c:pt>
                <c:pt idx="11">
                  <c:v>3.0150624999999964</c:v>
                </c:pt>
                <c:pt idx="12">
                  <c:v>3.4457857142857096</c:v>
                </c:pt>
                <c:pt idx="13">
                  <c:v>4.0200833333333268</c:v>
                </c:pt>
                <c:pt idx="14">
                  <c:v>4.8240999999999907</c:v>
                </c:pt>
                <c:pt idx="15">
                  <c:v>6.0301249999999849</c:v>
                </c:pt>
                <c:pt idx="16">
                  <c:v>8.0401666666666394</c:v>
                </c:pt>
                <c:pt idx="17">
                  <c:v>12.060249999999938</c:v>
                </c:pt>
                <c:pt idx="18">
                  <c:v>24.120499999999748</c:v>
                </c:pt>
                <c:pt idx="19">
                  <c:v>289.44600000012065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3-4CFB-A9F5-5069E95B4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00160"/>
        <c:axId val="260675120"/>
      </c:lineChart>
      <c:catAx>
        <c:axId val="9320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0675120"/>
        <c:crosses val="autoZero"/>
        <c:auto val="1"/>
        <c:lblAlgn val="ctr"/>
        <c:lblOffset val="100"/>
        <c:noMultiLvlLbl val="0"/>
      </c:catAx>
      <c:valAx>
        <c:axId val="26067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20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69850</xdr:colOff>
      <xdr:row>1</xdr:row>
      <xdr:rowOff>6350</xdr:rowOff>
    </xdr:from>
    <xdr:to>
      <xdr:col>22</xdr:col>
      <xdr:colOff>361949</xdr:colOff>
      <xdr:row>26</xdr:row>
      <xdr:rowOff>6350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5B22EC8-0E96-47D6-A3BC-968455B59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82550</xdr:colOff>
      <xdr:row>73</xdr:row>
      <xdr:rowOff>82550</xdr:rowOff>
    </xdr:from>
    <xdr:to>
      <xdr:col>6</xdr:col>
      <xdr:colOff>1238250</xdr:colOff>
      <xdr:row>95</xdr:row>
      <xdr:rowOff>114300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BBE3B9E7-0D33-4A67-AB48-6126B2DFB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0" y="13785850"/>
          <a:ext cx="4457700" cy="410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95250</xdr:colOff>
      <xdr:row>0</xdr:row>
      <xdr:rowOff>82550</xdr:rowOff>
    </xdr:from>
    <xdr:to>
      <xdr:col>22</xdr:col>
      <xdr:colOff>387349</xdr:colOff>
      <xdr:row>26</xdr:row>
      <xdr:rowOff>31750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9F4B9915-AFCA-462A-8223-E258BC2C6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527050</xdr:colOff>
      <xdr:row>1</xdr:row>
      <xdr:rowOff>0</xdr:rowOff>
    </xdr:from>
    <xdr:to>
      <xdr:col>30</xdr:col>
      <xdr:colOff>107949</xdr:colOff>
      <xdr:row>26</xdr:row>
      <xdr:rowOff>19050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C2AF6456-F727-4496-844E-A29664274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exander%20Schmidt/a/PRIVAT/ALEX/PARTEI/PHO/Date-Tabellen/S-G-Registrierung/Model/P-0103202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</sheetNames>
    <sheetDataSet>
      <sheetData sheetId="0">
        <row r="7">
          <cell r="M7">
            <v>5438961.7209625095</v>
          </cell>
          <cell r="N7">
            <v>6904761.9047619067</v>
          </cell>
          <cell r="O7">
            <v>1.2695000000000001</v>
          </cell>
        </row>
        <row r="8">
          <cell r="M8">
            <v>7115634.1311840378</v>
          </cell>
          <cell r="N8">
            <v>9535147.3922902551</v>
          </cell>
          <cell r="O8">
            <v>1.3400277777777778</v>
          </cell>
        </row>
        <row r="9">
          <cell r="M9">
            <v>9280443.4568088166</v>
          </cell>
          <cell r="N9">
            <v>13167584.49411512</v>
          </cell>
          <cell r="O9">
            <v>1.4188529411764705</v>
          </cell>
        </row>
        <row r="10">
          <cell r="M10">
            <v>12061976.929857962</v>
          </cell>
          <cell r="N10">
            <v>18183807.158539932</v>
          </cell>
          <cell r="O10">
            <v>1.5075312499999998</v>
          </cell>
        </row>
        <row r="11">
          <cell r="M11">
            <v>15615952.275262548</v>
          </cell>
          <cell r="N11">
            <v>25110971.790364679</v>
          </cell>
          <cell r="O11">
            <v>1.608033333333333</v>
          </cell>
        </row>
        <row r="12">
          <cell r="M12">
            <v>20127227.377005067</v>
          </cell>
          <cell r="N12">
            <v>34677056.281932183</v>
          </cell>
          <cell r="O12">
            <v>1.7228928571428566</v>
          </cell>
        </row>
        <row r="13">
          <cell r="M13">
            <v>25809403.813370455</v>
          </cell>
          <cell r="N13">
            <v>47887363.436953984</v>
          </cell>
          <cell r="O13">
            <v>1.8554230769230762</v>
          </cell>
        </row>
        <row r="14">
          <cell r="M14">
            <v>32899899.36649422</v>
          </cell>
          <cell r="N14">
            <v>66130168.555793621</v>
          </cell>
          <cell r="O14">
            <v>2.0100416666666656</v>
          </cell>
        </row>
        <row r="15">
          <cell r="M15">
            <v>41647094.832982779</v>
          </cell>
          <cell r="N15">
            <v>91322613.719905496</v>
          </cell>
          <cell r="O15">
            <v>2.1927727272727258</v>
          </cell>
        </row>
        <row r="16">
          <cell r="M16">
            <v>52284231.608506545</v>
          </cell>
          <cell r="N16">
            <v>126112180.85129809</v>
          </cell>
          <cell r="O16">
            <v>2.4120499999999976</v>
          </cell>
        </row>
        <row r="17">
          <cell r="M17">
            <v>64981830.713429593</v>
          </cell>
          <cell r="N17">
            <v>174154916.41369742</v>
          </cell>
          <cell r="O17">
            <v>2.6800555555555525</v>
          </cell>
        </row>
        <row r="18">
          <cell r="M18">
            <v>79766056.748760164</v>
          </cell>
          <cell r="N18">
            <v>240499646.47605842</v>
          </cell>
          <cell r="O18">
            <v>3.0150624999999964</v>
          </cell>
        </row>
        <row r="19">
          <cell r="M19">
            <v>96383985.23808524</v>
          </cell>
          <cell r="N19">
            <v>332118559.41931885</v>
          </cell>
          <cell r="O19">
            <v>3.4457857142857096</v>
          </cell>
        </row>
        <row r="20">
          <cell r="M20">
            <v>114087166.20018262</v>
          </cell>
          <cell r="N20">
            <v>458639915.38858336</v>
          </cell>
          <cell r="O20">
            <v>4.0200833333333268</v>
          </cell>
        </row>
        <row r="21">
          <cell r="M21">
            <v>131290786.50021021</v>
          </cell>
          <cell r="N21">
            <v>633359883.15566289</v>
          </cell>
          <cell r="O21">
            <v>4.8240999999999907</v>
          </cell>
        </row>
        <row r="22">
          <cell r="M22">
            <v>145045059.37166095</v>
          </cell>
          <cell r="N22">
            <v>874639838.64353478</v>
          </cell>
          <cell r="O22">
            <v>6.0301249999999849</v>
          </cell>
        </row>
        <row r="23">
          <cell r="M23">
            <v>150225240.06350616</v>
          </cell>
          <cell r="N23">
            <v>1207835967.6505959</v>
          </cell>
          <cell r="O23">
            <v>8.0401666666666394</v>
          </cell>
        </row>
        <row r="24">
          <cell r="M24">
            <v>138302601.96322817</v>
          </cell>
          <cell r="N24">
            <v>1667963955.3270137</v>
          </cell>
          <cell r="O24">
            <v>12.060249999999938</v>
          </cell>
        </row>
        <row r="25">
          <cell r="M25">
            <v>95494653.736515209</v>
          </cell>
          <cell r="N25">
            <v>2303378795.451591</v>
          </cell>
          <cell r="O25">
            <v>24.120499999999748</v>
          </cell>
        </row>
        <row r="26">
          <cell r="M26">
            <v>0</v>
          </cell>
          <cell r="N26">
            <v>3180856431.8141026</v>
          </cell>
          <cell r="O26">
            <v>289.44600000012065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lcus.ru/rastamozhka-au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3F644-07FF-4FBA-AB95-11855DAA0546}">
  <dimension ref="C1:AP247"/>
  <sheetViews>
    <sheetView tabSelected="1" topLeftCell="D58" zoomScaleNormal="100" workbookViewId="0">
      <selection activeCell="H74" sqref="H74"/>
    </sheetView>
  </sheetViews>
  <sheetFormatPr baseColWidth="10" defaultRowHeight="14.5" x14ac:dyDescent="0.35"/>
  <cols>
    <col min="3" max="3" width="7.453125" customWidth="1"/>
    <col min="4" max="4" width="67.26953125" customWidth="1"/>
    <col min="5" max="6" width="23.6328125" customWidth="1"/>
    <col min="7" max="7" width="19.90625" customWidth="1"/>
    <col min="8" max="8" width="15.7265625" customWidth="1"/>
    <col min="10" max="10" width="21" customWidth="1"/>
    <col min="11" max="11" width="18.81640625" style="78" customWidth="1"/>
    <col min="12" max="12" width="23.90625" style="77" customWidth="1"/>
    <col min="13" max="13" width="23.36328125" style="77" customWidth="1"/>
    <col min="14" max="14" width="20.26953125" style="79" customWidth="1"/>
    <col min="15" max="15" width="18.1796875" style="87" customWidth="1"/>
    <col min="16" max="16" width="11.81640625" style="79" bestFit="1" customWidth="1"/>
    <col min="17" max="17" width="13.90625" style="51" bestFit="1" customWidth="1"/>
    <col min="18" max="18" width="16.54296875" style="51" bestFit="1" customWidth="1"/>
    <col min="19" max="19" width="13.90625" style="51" bestFit="1" customWidth="1"/>
    <col min="20" max="20" width="10.90625" style="80"/>
    <col min="31" max="31" width="3.453125" customWidth="1"/>
    <col min="32" max="32" width="12.54296875" style="78" customWidth="1"/>
    <col min="33" max="33" width="13.81640625" style="78" customWidth="1"/>
    <col min="34" max="34" width="18.81640625" style="78" customWidth="1"/>
    <col min="35" max="35" width="11.6328125" style="78" customWidth="1"/>
    <col min="36" max="36" width="17.6328125" style="77" customWidth="1"/>
    <col min="37" max="37" width="18.1796875" style="77" bestFit="1" customWidth="1"/>
    <col min="38" max="38" width="18.1796875" style="79" bestFit="1" customWidth="1"/>
    <col min="39" max="39" width="18.1796875" style="87" customWidth="1"/>
    <col min="40" max="40" width="11.81640625" style="214" bestFit="1" customWidth="1"/>
    <col min="41" max="42" width="11.81640625" style="214" customWidth="1"/>
  </cols>
  <sheetData>
    <row r="1" spans="3:42" ht="7" customHeight="1" thickBot="1" x14ac:dyDescent="0.4"/>
    <row r="2" spans="3:42" ht="15.5" thickTop="1" thickBot="1" x14ac:dyDescent="0.4">
      <c r="C2" s="71" t="s">
        <v>38</v>
      </c>
      <c r="D2" s="72"/>
      <c r="E2" s="73"/>
      <c r="F2" s="74" t="s">
        <v>36</v>
      </c>
      <c r="G2" s="75"/>
      <c r="H2" s="76" t="s">
        <v>37</v>
      </c>
      <c r="K2" s="119" t="s">
        <v>43</v>
      </c>
      <c r="L2" s="120" t="s">
        <v>44</v>
      </c>
      <c r="M2" s="120" t="s">
        <v>44</v>
      </c>
      <c r="N2" s="120" t="s">
        <v>44</v>
      </c>
      <c r="O2" s="121" t="s">
        <v>55</v>
      </c>
      <c r="P2" s="81" t="s">
        <v>49</v>
      </c>
      <c r="R2"/>
      <c r="AF2" s="215" t="s">
        <v>122</v>
      </c>
      <c r="AG2" s="265" t="s">
        <v>43</v>
      </c>
      <c r="AH2" s="215" t="s">
        <v>123</v>
      </c>
      <c r="AI2" s="265" t="s">
        <v>136</v>
      </c>
      <c r="AJ2" s="216" t="s">
        <v>44</v>
      </c>
      <c r="AK2" s="216" t="s">
        <v>44</v>
      </c>
      <c r="AL2" s="216" t="s">
        <v>44</v>
      </c>
      <c r="AM2" s="217" t="s">
        <v>55</v>
      </c>
      <c r="AN2" s="218" t="s">
        <v>49</v>
      </c>
      <c r="AO2" s="380" t="s">
        <v>157</v>
      </c>
      <c r="AP2" s="218" t="s">
        <v>158</v>
      </c>
    </row>
    <row r="3" spans="3:42" ht="15.5" thickTop="1" thickBot="1" x14ac:dyDescent="0.4">
      <c r="C3" s="69" t="s">
        <v>39</v>
      </c>
      <c r="D3" s="70"/>
      <c r="E3" s="88">
        <f ca="1">TODAY()</f>
        <v>44865</v>
      </c>
      <c r="F3" s="50" t="s">
        <v>120</v>
      </c>
      <c r="G3" s="259" t="str">
        <f>VLOOKUP(G5,AF:AH,3,0)</f>
        <v>Июль</v>
      </c>
      <c r="H3" s="260">
        <f>VLOOKUP(G5,AF:AG,2,0)</f>
        <v>2022</v>
      </c>
      <c r="K3" s="122" t="s">
        <v>42</v>
      </c>
      <c r="L3" s="123" t="s">
        <v>46</v>
      </c>
      <c r="M3" s="123" t="s">
        <v>48</v>
      </c>
      <c r="N3" s="123" t="s">
        <v>48</v>
      </c>
      <c r="O3" s="124" t="s">
        <v>56</v>
      </c>
      <c r="P3" s="82" t="s">
        <v>50</v>
      </c>
      <c r="AF3" s="223" t="s">
        <v>124</v>
      </c>
      <c r="AG3" s="276" t="s">
        <v>42</v>
      </c>
      <c r="AH3" s="223" t="s">
        <v>125</v>
      </c>
      <c r="AI3" s="266" t="s">
        <v>137</v>
      </c>
      <c r="AJ3" s="220" t="s">
        <v>46</v>
      </c>
      <c r="AK3" s="220" t="s">
        <v>48</v>
      </c>
      <c r="AL3" s="220" t="s">
        <v>48</v>
      </c>
      <c r="AM3" s="221" t="s">
        <v>56</v>
      </c>
      <c r="AN3" s="222" t="s">
        <v>50</v>
      </c>
      <c r="AO3" s="381" t="s">
        <v>159</v>
      </c>
      <c r="AP3" s="222" t="s">
        <v>159</v>
      </c>
    </row>
    <row r="4" spans="3:42" ht="15" thickBot="1" x14ac:dyDescent="0.4">
      <c r="C4" s="40"/>
      <c r="D4" s="2" t="s">
        <v>0</v>
      </c>
      <c r="E4" s="5" t="s">
        <v>1</v>
      </c>
      <c r="F4" s="5" t="s">
        <v>2</v>
      </c>
      <c r="G4" s="6" t="s">
        <v>121</v>
      </c>
      <c r="H4" s="6" t="s">
        <v>25</v>
      </c>
      <c r="K4" s="125" t="s">
        <v>53</v>
      </c>
      <c r="L4" s="123" t="s">
        <v>45</v>
      </c>
      <c r="M4" s="123" t="s">
        <v>47</v>
      </c>
      <c r="N4" s="123" t="s">
        <v>107</v>
      </c>
      <c r="O4" s="124" t="s">
        <v>57</v>
      </c>
      <c r="P4" s="82" t="s">
        <v>51</v>
      </c>
      <c r="AF4" s="223" t="s">
        <v>126</v>
      </c>
      <c r="AG4" s="266" t="s">
        <v>53</v>
      </c>
      <c r="AH4" s="223" t="s">
        <v>54</v>
      </c>
      <c r="AI4" s="266" t="s">
        <v>138</v>
      </c>
      <c r="AJ4" s="220" t="s">
        <v>45</v>
      </c>
      <c r="AK4" s="220" t="s">
        <v>47</v>
      </c>
      <c r="AL4" s="220" t="s">
        <v>107</v>
      </c>
      <c r="AM4" s="221" t="s">
        <v>57</v>
      </c>
      <c r="AN4" s="222" t="s">
        <v>51</v>
      </c>
      <c r="AO4" s="381" t="s">
        <v>160</v>
      </c>
      <c r="AP4" s="222" t="s">
        <v>160</v>
      </c>
    </row>
    <row r="5" spans="3:42" ht="15" thickBot="1" x14ac:dyDescent="0.4">
      <c r="C5" s="41"/>
      <c r="D5" s="3"/>
      <c r="E5" s="261">
        <v>77.13</v>
      </c>
      <c r="F5" s="262">
        <v>91.48</v>
      </c>
      <c r="G5" s="263">
        <v>19</v>
      </c>
      <c r="H5" s="264" t="s">
        <v>29</v>
      </c>
      <c r="K5" s="122" t="s">
        <v>54</v>
      </c>
      <c r="L5" s="126"/>
      <c r="M5" s="126"/>
      <c r="N5" s="126"/>
      <c r="O5" s="127" t="s">
        <v>58</v>
      </c>
      <c r="P5" s="83" t="s">
        <v>52</v>
      </c>
      <c r="AF5" s="219" t="s">
        <v>54</v>
      </c>
      <c r="AG5" s="267" t="s">
        <v>54</v>
      </c>
      <c r="AH5" s="219"/>
      <c r="AI5" s="267" t="s">
        <v>126</v>
      </c>
      <c r="AJ5" s="224"/>
      <c r="AK5" s="224"/>
      <c r="AL5" s="224"/>
      <c r="AM5" s="225" t="s">
        <v>58</v>
      </c>
      <c r="AN5" s="226" t="s">
        <v>52</v>
      </c>
      <c r="AO5" s="382" t="s">
        <v>161</v>
      </c>
      <c r="AP5" s="383" t="s">
        <v>161</v>
      </c>
    </row>
    <row r="6" spans="3:42" ht="15" thickBot="1" x14ac:dyDescent="0.4">
      <c r="C6" s="317" t="s">
        <v>139</v>
      </c>
      <c r="D6" s="318"/>
      <c r="E6" s="319" t="s">
        <v>140</v>
      </c>
      <c r="F6" s="319" t="s">
        <v>141</v>
      </c>
      <c r="G6" s="319" t="s">
        <v>14</v>
      </c>
      <c r="H6" s="320" t="s">
        <v>142</v>
      </c>
      <c r="K6" s="99">
        <f>E31</f>
        <v>113002.64550264552</v>
      </c>
      <c r="L6" s="100">
        <f>1-H32</f>
        <v>0.41999999999999993</v>
      </c>
      <c r="M6" s="100">
        <f>1-L6</f>
        <v>0.58000000000000007</v>
      </c>
      <c r="N6" s="100">
        <f>M6</f>
        <v>0.58000000000000007</v>
      </c>
      <c r="O6" s="213">
        <v>1.2695000000000001</v>
      </c>
      <c r="P6" s="101">
        <f>(P7-P26)/(K26-K7)</f>
        <v>5.2631578947368418E-2</v>
      </c>
      <c r="AF6" s="99"/>
      <c r="AG6" s="268">
        <f>K6</f>
        <v>113002.64550264552</v>
      </c>
      <c r="AH6" s="227"/>
      <c r="AI6" s="227"/>
      <c r="AJ6" s="227">
        <f>L6</f>
        <v>0.41999999999999993</v>
      </c>
      <c r="AK6" s="227">
        <f>1-AJ6</f>
        <v>0.58000000000000007</v>
      </c>
      <c r="AL6" s="227">
        <f>AK6</f>
        <v>0.58000000000000007</v>
      </c>
      <c r="AM6" s="228">
        <f>O6</f>
        <v>1.2695000000000001</v>
      </c>
      <c r="AN6" s="229">
        <f>($P$7-$P$8)/12</f>
        <v>4.3859649122806972E-3</v>
      </c>
      <c r="AO6" s="384">
        <v>2500</v>
      </c>
      <c r="AP6" s="385">
        <f>AO6/30</f>
        <v>83.333333333333329</v>
      </c>
    </row>
    <row r="7" spans="3:42" ht="15" thickBot="1" x14ac:dyDescent="0.4">
      <c r="C7" s="321" t="s">
        <v>143</v>
      </c>
      <c r="D7" s="322"/>
      <c r="E7" s="248">
        <v>1</v>
      </c>
      <c r="F7" s="248">
        <v>2</v>
      </c>
      <c r="G7" s="248">
        <v>3</v>
      </c>
      <c r="H7" s="323">
        <v>3</v>
      </c>
      <c r="K7" s="89">
        <v>2021</v>
      </c>
      <c r="L7" s="91">
        <f>$K$6*$L$6</f>
        <v>47461.111111111109</v>
      </c>
      <c r="M7" s="93">
        <f>N7/O6</f>
        <v>51627.833313536357</v>
      </c>
      <c r="N7" s="94">
        <f>$L$7/$L$6*$M$6</f>
        <v>65541.534391534413</v>
      </c>
      <c r="O7" s="102">
        <f t="shared" ref="O7:O25" si="0">$O$6/P7</f>
        <v>1.2695000000000001</v>
      </c>
      <c r="P7" s="97">
        <v>1</v>
      </c>
      <c r="AF7" s="230">
        <v>1</v>
      </c>
      <c r="AG7" s="269">
        <v>2021</v>
      </c>
      <c r="AH7" s="231" t="s">
        <v>108</v>
      </c>
      <c r="AI7" s="312">
        <v>44197</v>
      </c>
      <c r="AJ7" s="232">
        <f>AG6*L6</f>
        <v>47461.111111111109</v>
      </c>
      <c r="AK7" s="93">
        <f>AL7/AM6</f>
        <v>51627.833313536357</v>
      </c>
      <c r="AL7" s="233">
        <f>$L$7/$L$6*$M$6</f>
        <v>65541.534391534413</v>
      </c>
      <c r="AM7" s="102">
        <f>$AM$6/AN7</f>
        <v>1.2695000000000001</v>
      </c>
      <c r="AN7" s="234">
        <f>P7</f>
        <v>1</v>
      </c>
      <c r="AO7" s="386">
        <f>$AO$6/AM7</f>
        <v>1969.2792437967703</v>
      </c>
      <c r="AP7" s="387">
        <f>$AP$6/AM7</f>
        <v>65.642641459892332</v>
      </c>
    </row>
    <row r="8" spans="3:42" ht="15" thickBot="1" x14ac:dyDescent="0.4">
      <c r="C8" s="321" t="s">
        <v>144</v>
      </c>
      <c r="D8" s="322"/>
      <c r="E8" s="248">
        <v>8</v>
      </c>
      <c r="F8" s="248">
        <v>19</v>
      </c>
      <c r="G8" s="248">
        <v>19</v>
      </c>
      <c r="H8" s="323">
        <v>19</v>
      </c>
      <c r="K8" s="89">
        <f>K7+1</f>
        <v>2022</v>
      </c>
      <c r="L8" s="91">
        <f>N7</f>
        <v>65541.534391534413</v>
      </c>
      <c r="M8" s="93">
        <f t="shared" ref="M8:M25" si="1">N8/O8</f>
        <v>67543.180425228042</v>
      </c>
      <c r="N8" s="94">
        <f t="shared" ref="N8:N26" si="2">L8/$L$6*$M$6</f>
        <v>90509.737969261841</v>
      </c>
      <c r="O8" s="102">
        <f t="shared" si="0"/>
        <v>1.3400277777777778</v>
      </c>
      <c r="P8" s="84">
        <f t="shared" ref="P8:P25" si="3">P7-$P$6</f>
        <v>0.94736842105263164</v>
      </c>
      <c r="AF8" s="230">
        <f>AF7+1</f>
        <v>2</v>
      </c>
      <c r="AG8" s="270">
        <f t="shared" ref="AG8:AG18" si="4">AG7</f>
        <v>2021</v>
      </c>
      <c r="AH8" s="231" t="s">
        <v>109</v>
      </c>
      <c r="AI8" s="312">
        <f>AI7+31</f>
        <v>44228</v>
      </c>
      <c r="AJ8" s="91">
        <f>AL8/$AL$6*$AJ$6</f>
        <v>48967.813051146382</v>
      </c>
      <c r="AK8" s="93">
        <f>AL8/AM8</f>
        <v>53033.185779812658</v>
      </c>
      <c r="AL8" s="94">
        <f>AL7+($AL$19-$AL$7)/12</f>
        <v>67622.218023011694</v>
      </c>
      <c r="AM8" s="102">
        <f>$O$6/AN8</f>
        <v>1.2750925110132159</v>
      </c>
      <c r="AN8" s="235">
        <f t="shared" ref="AN8:AN71" si="5">AN7-($P$7-$P$8)/12</f>
        <v>0.99561403508771928</v>
      </c>
      <c r="AO8" s="388">
        <f>$AO$6/AM8</f>
        <v>1960.6420541309951</v>
      </c>
      <c r="AP8" s="389">
        <f t="shared" ref="AP8:AP71" si="6">$AP$6/AM8</f>
        <v>65.354735137699834</v>
      </c>
    </row>
    <row r="9" spans="3:42" ht="15" thickBot="1" x14ac:dyDescent="0.4">
      <c r="C9" s="324" t="s">
        <v>145</v>
      </c>
      <c r="D9" s="322"/>
      <c r="E9" s="325">
        <v>0.7</v>
      </c>
      <c r="F9" s="325">
        <v>0.5</v>
      </c>
      <c r="G9" s="325">
        <v>0.5</v>
      </c>
      <c r="H9" s="326">
        <v>0.5</v>
      </c>
      <c r="K9" s="89">
        <f t="shared" ref="K9:K26" si="7">K8+1</f>
        <v>2023</v>
      </c>
      <c r="L9" s="91">
        <f t="shared" ref="L9:L26" si="8">N8</f>
        <v>90509.737969261841</v>
      </c>
      <c r="M9" s="93">
        <f t="shared" si="1"/>
        <v>88092.031612797466</v>
      </c>
      <c r="N9" s="94">
        <f t="shared" si="2"/>
        <v>124989.6381480283</v>
      </c>
      <c r="O9" s="102">
        <f t="shared" si="0"/>
        <v>1.4188529411764705</v>
      </c>
      <c r="P9" s="84">
        <f t="shared" si="3"/>
        <v>0.89473684210526327</v>
      </c>
      <c r="AF9" s="230">
        <f t="shared" ref="AF9:AF72" si="9">AF8+1</f>
        <v>3</v>
      </c>
      <c r="AG9" s="270">
        <f t="shared" si="4"/>
        <v>2021</v>
      </c>
      <c r="AH9" s="231" t="s">
        <v>110</v>
      </c>
      <c r="AI9" s="312">
        <f>AI8+28</f>
        <v>44256</v>
      </c>
      <c r="AJ9" s="91">
        <f t="shared" ref="AJ9:AJ18" si="10">AL9/$AL$6*$AJ$6</f>
        <v>50474.514991181655</v>
      </c>
      <c r="AK9" s="93">
        <f t="shared" ref="AK9:AK18" si="11">AL9/AM9</f>
        <v>54424.161238761313</v>
      </c>
      <c r="AL9" s="94">
        <f t="shared" ref="AL9:AL18" si="12">AL8+($AL$19-$AL$7)/12</f>
        <v>69702.901654488975</v>
      </c>
      <c r="AM9" s="102">
        <f t="shared" ref="AM9:AM72" si="13">$O$6/AN9</f>
        <v>1.2807345132743364</v>
      </c>
      <c r="AN9" s="235">
        <f t="shared" si="5"/>
        <v>0.99122807017543857</v>
      </c>
      <c r="AO9" s="388">
        <f t="shared" ref="AO9:AO72" si="14">$AO$6/AM9</f>
        <v>1952.0048644652195</v>
      </c>
      <c r="AP9" s="389">
        <f t="shared" si="6"/>
        <v>65.066828815507321</v>
      </c>
    </row>
    <row r="10" spans="3:42" x14ac:dyDescent="0.35">
      <c r="C10" s="375"/>
      <c r="D10" s="376" t="s">
        <v>153</v>
      </c>
      <c r="E10" s="377"/>
      <c r="F10" s="377"/>
      <c r="G10" s="377"/>
      <c r="H10" s="378"/>
      <c r="K10" s="89">
        <f t="shared" si="7"/>
        <v>2024</v>
      </c>
      <c r="L10" s="91">
        <f t="shared" si="8"/>
        <v>124989.6381480283</v>
      </c>
      <c r="M10" s="93">
        <f t="shared" si="1"/>
        <v>114494.96545752951</v>
      </c>
      <c r="N10" s="94">
        <f t="shared" si="2"/>
        <v>172604.73839489627</v>
      </c>
      <c r="O10" s="102">
        <f t="shared" si="0"/>
        <v>1.5075312499999998</v>
      </c>
      <c r="P10" s="84">
        <f t="shared" si="3"/>
        <v>0.84210526315789491</v>
      </c>
      <c r="AF10" s="230">
        <f t="shared" si="9"/>
        <v>4</v>
      </c>
      <c r="AG10" s="270">
        <f t="shared" si="4"/>
        <v>2021</v>
      </c>
      <c r="AH10" s="231" t="s">
        <v>111</v>
      </c>
      <c r="AI10" s="312">
        <f t="shared" ref="AI10:AI17" si="15">AI9+31</f>
        <v>44287</v>
      </c>
      <c r="AJ10" s="91">
        <f t="shared" si="10"/>
        <v>51981.216931216928</v>
      </c>
      <c r="AK10" s="93">
        <f t="shared" si="11"/>
        <v>55800.759690382336</v>
      </c>
      <c r="AL10" s="94">
        <f t="shared" si="12"/>
        <v>71783.585285966255</v>
      </c>
      <c r="AM10" s="102">
        <f t="shared" si="13"/>
        <v>1.2864266666666668</v>
      </c>
      <c r="AN10" s="235">
        <f t="shared" si="5"/>
        <v>0.98684210526315785</v>
      </c>
      <c r="AO10" s="388">
        <f t="shared" si="14"/>
        <v>1943.3676747994441</v>
      </c>
      <c r="AP10" s="389">
        <f t="shared" si="6"/>
        <v>64.778922493314809</v>
      </c>
    </row>
    <row r="11" spans="3:42" ht="15" thickBot="1" x14ac:dyDescent="0.4">
      <c r="C11" s="375"/>
      <c r="D11" s="376" t="s">
        <v>154</v>
      </c>
      <c r="E11" s="377"/>
      <c r="F11" s="377"/>
      <c r="G11" s="377"/>
      <c r="H11" s="378"/>
      <c r="K11" s="89">
        <f t="shared" si="7"/>
        <v>2025</v>
      </c>
      <c r="L11" s="91">
        <f t="shared" si="8"/>
        <v>172604.73839489627</v>
      </c>
      <c r="M11" s="93">
        <f t="shared" si="1"/>
        <v>148230.08920840881</v>
      </c>
      <c r="N11" s="94">
        <f t="shared" si="2"/>
        <v>238358.92445009493</v>
      </c>
      <c r="O11" s="102">
        <f t="shared" si="0"/>
        <v>1.608033333333333</v>
      </c>
      <c r="P11" s="84">
        <f t="shared" si="3"/>
        <v>0.78947368421052655</v>
      </c>
      <c r="AF11" s="230">
        <f t="shared" si="9"/>
        <v>5</v>
      </c>
      <c r="AG11" s="270">
        <f t="shared" si="4"/>
        <v>2021</v>
      </c>
      <c r="AH11" s="231" t="s">
        <v>112</v>
      </c>
      <c r="AI11" s="312">
        <f>AI10+30</f>
        <v>44317</v>
      </c>
      <c r="AJ11" s="91">
        <f t="shared" si="10"/>
        <v>53487.918871252201</v>
      </c>
      <c r="AK11" s="93">
        <f t="shared" si="11"/>
        <v>57162.981134675727</v>
      </c>
      <c r="AL11" s="94">
        <f t="shared" si="12"/>
        <v>73864.268917443536</v>
      </c>
      <c r="AM11" s="102">
        <f t="shared" si="13"/>
        <v>1.292169642857143</v>
      </c>
      <c r="AN11" s="235">
        <f t="shared" si="5"/>
        <v>0.98245614035087714</v>
      </c>
      <c r="AO11" s="388">
        <f t="shared" si="14"/>
        <v>1934.7304851336689</v>
      </c>
      <c r="AP11" s="389">
        <f t="shared" si="6"/>
        <v>64.491016171122297</v>
      </c>
    </row>
    <row r="12" spans="3:42" x14ac:dyDescent="0.35">
      <c r="C12" s="4"/>
      <c r="D12" s="5" t="s">
        <v>3</v>
      </c>
      <c r="E12" s="5" t="s">
        <v>4</v>
      </c>
      <c r="F12" s="5" t="s">
        <v>4</v>
      </c>
      <c r="G12" s="44" t="s">
        <v>26</v>
      </c>
      <c r="H12" s="6" t="s">
        <v>5</v>
      </c>
      <c r="K12" s="89">
        <f t="shared" si="7"/>
        <v>2026</v>
      </c>
      <c r="L12" s="91">
        <f t="shared" si="8"/>
        <v>238358.92445009493</v>
      </c>
      <c r="M12" s="93">
        <f t="shared" si="1"/>
        <v>191052.11497972696</v>
      </c>
      <c r="N12" s="94">
        <f t="shared" si="2"/>
        <v>329162.32424060733</v>
      </c>
      <c r="O12" s="102">
        <f t="shared" si="0"/>
        <v>1.7228928571428566</v>
      </c>
      <c r="P12" s="84">
        <f t="shared" si="3"/>
        <v>0.73684210526315819</v>
      </c>
      <c r="AF12" s="230">
        <f t="shared" si="9"/>
        <v>6</v>
      </c>
      <c r="AG12" s="271">
        <f t="shared" si="4"/>
        <v>2021</v>
      </c>
      <c r="AH12" s="231" t="s">
        <v>113</v>
      </c>
      <c r="AI12" s="312">
        <f t="shared" si="15"/>
        <v>44348</v>
      </c>
      <c r="AJ12" s="91">
        <f t="shared" si="10"/>
        <v>54994.620811287474</v>
      </c>
      <c r="AK12" s="93">
        <f t="shared" si="11"/>
        <v>58510.825571641479</v>
      </c>
      <c r="AL12" s="94">
        <f t="shared" si="12"/>
        <v>75944.952548920817</v>
      </c>
      <c r="AM12" s="102">
        <f t="shared" si="13"/>
        <v>1.2979641255605383</v>
      </c>
      <c r="AN12" s="235">
        <f t="shared" si="5"/>
        <v>0.97807017543859642</v>
      </c>
      <c r="AO12" s="388">
        <f t="shared" si="14"/>
        <v>1926.0932954678935</v>
      </c>
      <c r="AP12" s="389">
        <f t="shared" si="6"/>
        <v>64.203109848929785</v>
      </c>
    </row>
    <row r="13" spans="3:42" x14ac:dyDescent="0.35">
      <c r="C13" s="7" t="s">
        <v>6</v>
      </c>
      <c r="D13" s="8" t="s">
        <v>7</v>
      </c>
      <c r="E13" s="8" t="s">
        <v>8</v>
      </c>
      <c r="F13" s="8" t="s">
        <v>8</v>
      </c>
      <c r="G13" s="45" t="s">
        <v>27</v>
      </c>
      <c r="H13" s="9" t="s">
        <v>8</v>
      </c>
      <c r="K13" s="89">
        <f t="shared" si="7"/>
        <v>2027</v>
      </c>
      <c r="L13" s="91">
        <f t="shared" si="8"/>
        <v>329162.32424060733</v>
      </c>
      <c r="M13" s="93">
        <f t="shared" si="1"/>
        <v>244988.59641958197</v>
      </c>
      <c r="N13" s="94">
        <f t="shared" si="2"/>
        <v>454557.49537988647</v>
      </c>
      <c r="O13" s="102">
        <f t="shared" si="0"/>
        <v>1.8554230769230762</v>
      </c>
      <c r="P13" s="84">
        <f t="shared" si="3"/>
        <v>0.68421052631578982</v>
      </c>
      <c r="AF13" s="230">
        <f t="shared" si="9"/>
        <v>7</v>
      </c>
      <c r="AG13" s="270">
        <f t="shared" si="4"/>
        <v>2021</v>
      </c>
      <c r="AH13" s="231" t="s">
        <v>114</v>
      </c>
      <c r="AI13" s="312">
        <f>AI12+30</f>
        <v>44378</v>
      </c>
      <c r="AJ13" s="91">
        <f t="shared" si="10"/>
        <v>56501.322751322747</v>
      </c>
      <c r="AK13" s="93">
        <f t="shared" si="11"/>
        <v>59844.293001279599</v>
      </c>
      <c r="AL13" s="94">
        <f t="shared" si="12"/>
        <v>78025.636180398098</v>
      </c>
      <c r="AM13" s="102">
        <f t="shared" si="13"/>
        <v>1.3038108108108111</v>
      </c>
      <c r="AN13" s="235">
        <f t="shared" si="5"/>
        <v>0.97368421052631571</v>
      </c>
      <c r="AO13" s="388">
        <f t="shared" si="14"/>
        <v>1917.4561058021181</v>
      </c>
      <c r="AP13" s="389">
        <f t="shared" si="6"/>
        <v>63.915203526737265</v>
      </c>
    </row>
    <row r="14" spans="3:42" x14ac:dyDescent="0.35">
      <c r="C14" s="7" t="s">
        <v>9</v>
      </c>
      <c r="D14" s="8" t="s">
        <v>10</v>
      </c>
      <c r="E14" s="8" t="s">
        <v>11</v>
      </c>
      <c r="F14" s="8" t="s">
        <v>11</v>
      </c>
      <c r="G14" s="45" t="s">
        <v>30</v>
      </c>
      <c r="H14" s="9" t="s">
        <v>11</v>
      </c>
      <c r="K14" s="89">
        <f t="shared" si="7"/>
        <v>2028</v>
      </c>
      <c r="L14" s="91">
        <f t="shared" si="8"/>
        <v>454557.49537988647</v>
      </c>
      <c r="M14" s="93">
        <f t="shared" si="1"/>
        <v>312293.15587551123</v>
      </c>
      <c r="N14" s="94">
        <f t="shared" si="2"/>
        <v>627722.2555246054</v>
      </c>
      <c r="O14" s="102">
        <f t="shared" si="0"/>
        <v>2.0100416666666656</v>
      </c>
      <c r="P14" s="84">
        <f t="shared" si="3"/>
        <v>0.63157894736842146</v>
      </c>
      <c r="AF14" s="230">
        <f t="shared" si="9"/>
        <v>8</v>
      </c>
      <c r="AG14" s="270">
        <f t="shared" si="4"/>
        <v>2021</v>
      </c>
      <c r="AH14" s="231" t="s">
        <v>115</v>
      </c>
      <c r="AI14" s="312">
        <f t="shared" si="15"/>
        <v>44409</v>
      </c>
      <c r="AJ14" s="91">
        <f t="shared" si="10"/>
        <v>58008.024691358012</v>
      </c>
      <c r="AK14" s="93">
        <f t="shared" si="11"/>
        <v>61163.383423590087</v>
      </c>
      <c r="AL14" s="94">
        <f t="shared" si="12"/>
        <v>80106.319811875379</v>
      </c>
      <c r="AM14" s="102">
        <f t="shared" si="13"/>
        <v>1.3097104072398191</v>
      </c>
      <c r="AN14" s="235">
        <f t="shared" si="5"/>
        <v>0.96929824561403499</v>
      </c>
      <c r="AO14" s="388">
        <f t="shared" si="14"/>
        <v>1908.818916136343</v>
      </c>
      <c r="AP14" s="389">
        <f t="shared" si="6"/>
        <v>63.627297204544767</v>
      </c>
    </row>
    <row r="15" spans="3:42" ht="15" thickBot="1" x14ac:dyDescent="0.4">
      <c r="C15" s="10"/>
      <c r="D15" s="11" t="s">
        <v>12</v>
      </c>
      <c r="E15" s="11" t="s">
        <v>19</v>
      </c>
      <c r="F15" s="11" t="s">
        <v>13</v>
      </c>
      <c r="G15" s="46" t="s">
        <v>31</v>
      </c>
      <c r="H15" s="12" t="s">
        <v>18</v>
      </c>
      <c r="K15" s="89">
        <f t="shared" si="7"/>
        <v>2029</v>
      </c>
      <c r="L15" s="91">
        <f t="shared" si="8"/>
        <v>627722.2555246054</v>
      </c>
      <c r="M15" s="93">
        <f t="shared" si="1"/>
        <v>395323.47906463541</v>
      </c>
      <c r="N15" s="94">
        <f t="shared" si="2"/>
        <v>866854.54334350291</v>
      </c>
      <c r="O15" s="102">
        <f t="shared" si="0"/>
        <v>2.1927727272727258</v>
      </c>
      <c r="P15" s="84">
        <f t="shared" si="3"/>
        <v>0.5789473684210531</v>
      </c>
      <c r="AF15" s="230">
        <f t="shared" si="9"/>
        <v>9</v>
      </c>
      <c r="AG15" s="270">
        <f t="shared" si="4"/>
        <v>2021</v>
      </c>
      <c r="AH15" s="231" t="s">
        <v>116</v>
      </c>
      <c r="AI15" s="312">
        <f t="shared" si="15"/>
        <v>44440</v>
      </c>
      <c r="AJ15" s="91">
        <f t="shared" si="10"/>
        <v>59514.726631393292</v>
      </c>
      <c r="AK15" s="93">
        <f t="shared" si="11"/>
        <v>62468.096838572943</v>
      </c>
      <c r="AL15" s="94">
        <f t="shared" si="12"/>
        <v>82187.00344335266</v>
      </c>
      <c r="AM15" s="102">
        <f t="shared" si="13"/>
        <v>1.3156636363636365</v>
      </c>
      <c r="AN15" s="235">
        <f t="shared" si="5"/>
        <v>0.96491228070175428</v>
      </c>
      <c r="AO15" s="388">
        <f t="shared" si="14"/>
        <v>1900.1817264705678</v>
      </c>
      <c r="AP15" s="389">
        <f t="shared" si="6"/>
        <v>63.339390882352255</v>
      </c>
    </row>
    <row r="16" spans="3:42" ht="15" thickBot="1" x14ac:dyDescent="0.4">
      <c r="C16" s="43" t="s">
        <v>34</v>
      </c>
      <c r="D16" s="31"/>
      <c r="E16" s="29"/>
      <c r="F16" s="29"/>
      <c r="G16" s="29"/>
      <c r="H16" s="30"/>
      <c r="K16" s="89">
        <f t="shared" si="7"/>
        <v>2030</v>
      </c>
      <c r="L16" s="91">
        <f t="shared" si="8"/>
        <v>866854.54334350291</v>
      </c>
      <c r="M16" s="93">
        <f t="shared" si="1"/>
        <v>496293.54514607944</v>
      </c>
      <c r="N16" s="94">
        <f t="shared" si="2"/>
        <v>1197084.8455695997</v>
      </c>
      <c r="O16" s="102">
        <f t="shared" si="0"/>
        <v>2.4120499999999976</v>
      </c>
      <c r="P16" s="84">
        <f t="shared" si="3"/>
        <v>0.52631578947368474</v>
      </c>
      <c r="AF16" s="230">
        <f t="shared" si="9"/>
        <v>10</v>
      </c>
      <c r="AG16" s="270">
        <f t="shared" si="4"/>
        <v>2021</v>
      </c>
      <c r="AH16" s="231" t="s">
        <v>117</v>
      </c>
      <c r="AI16" s="312">
        <f>AI15+30</f>
        <v>44470</v>
      </c>
      <c r="AJ16" s="91">
        <f t="shared" si="10"/>
        <v>61021.428571428558</v>
      </c>
      <c r="AK16" s="93">
        <f t="shared" si="11"/>
        <v>63758.433246228153</v>
      </c>
      <c r="AL16" s="94">
        <f t="shared" si="12"/>
        <v>84267.687074829941</v>
      </c>
      <c r="AM16" s="102">
        <f t="shared" si="13"/>
        <v>1.3216712328767126</v>
      </c>
      <c r="AN16" s="235">
        <f t="shared" si="5"/>
        <v>0.96052631578947356</v>
      </c>
      <c r="AO16" s="388">
        <f t="shared" si="14"/>
        <v>1891.5445368047922</v>
      </c>
      <c r="AP16" s="389">
        <f t="shared" si="6"/>
        <v>63.051484560159736</v>
      </c>
    </row>
    <row r="17" spans="3:42" x14ac:dyDescent="0.35">
      <c r="C17" s="13">
        <v>1</v>
      </c>
      <c r="D17" s="14" t="s">
        <v>14</v>
      </c>
      <c r="E17" s="67">
        <v>42715</v>
      </c>
      <c r="F17" s="33">
        <f t="shared" ref="F17:F22" si="16">E17*$F$5</f>
        <v>3907568.2</v>
      </c>
      <c r="G17" s="66">
        <v>10</v>
      </c>
      <c r="H17" s="15">
        <f>E17/E25</f>
        <v>0.9</v>
      </c>
      <c r="I17" s="350"/>
      <c r="K17" s="89">
        <f t="shared" si="7"/>
        <v>2031</v>
      </c>
      <c r="L17" s="91">
        <f t="shared" si="8"/>
        <v>1197084.8455695997</v>
      </c>
      <c r="M17" s="93">
        <f t="shared" si="1"/>
        <v>616821.97753869905</v>
      </c>
      <c r="N17" s="94">
        <f t="shared" si="2"/>
        <v>1653117.1676913525</v>
      </c>
      <c r="O17" s="102">
        <f t="shared" si="0"/>
        <v>2.6800555555555525</v>
      </c>
      <c r="P17" s="84">
        <f t="shared" si="3"/>
        <v>0.47368421052631632</v>
      </c>
      <c r="AF17" s="230">
        <f t="shared" si="9"/>
        <v>11</v>
      </c>
      <c r="AG17" s="270">
        <f t="shared" si="4"/>
        <v>2021</v>
      </c>
      <c r="AH17" s="231" t="s">
        <v>118</v>
      </c>
      <c r="AI17" s="312">
        <f t="shared" si="15"/>
        <v>44501</v>
      </c>
      <c r="AJ17" s="91">
        <f t="shared" si="10"/>
        <v>62528.130511463838</v>
      </c>
      <c r="AK17" s="93">
        <f t="shared" si="11"/>
        <v>65034.392646555731</v>
      </c>
      <c r="AL17" s="94">
        <f t="shared" si="12"/>
        <v>86348.370706307222</v>
      </c>
      <c r="AM17" s="102">
        <f t="shared" si="13"/>
        <v>1.3277339449541288</v>
      </c>
      <c r="AN17" s="235">
        <f t="shared" si="5"/>
        <v>0.95614035087719285</v>
      </c>
      <c r="AO17" s="388">
        <f t="shared" si="14"/>
        <v>1882.9073471390168</v>
      </c>
      <c r="AP17" s="389">
        <f t="shared" si="6"/>
        <v>62.763578237967224</v>
      </c>
    </row>
    <row r="18" spans="3:42" ht="15" thickBot="1" x14ac:dyDescent="0.4">
      <c r="C18" s="16">
        <f>C17+1</f>
        <v>2</v>
      </c>
      <c r="D18" s="17" t="s">
        <v>15</v>
      </c>
      <c r="E18" s="68">
        <v>0</v>
      </c>
      <c r="F18" s="33">
        <f t="shared" si="16"/>
        <v>0</v>
      </c>
      <c r="G18" s="47">
        <f>G17</f>
        <v>10</v>
      </c>
      <c r="H18" s="18">
        <f>E18/E25</f>
        <v>0</v>
      </c>
      <c r="K18" s="89">
        <f t="shared" si="7"/>
        <v>2032</v>
      </c>
      <c r="L18" s="91">
        <f t="shared" si="8"/>
        <v>1653117.1676913525</v>
      </c>
      <c r="M18" s="93">
        <f t="shared" si="1"/>
        <v>757157.13644962024</v>
      </c>
      <c r="N18" s="94">
        <f t="shared" si="2"/>
        <v>2282876.0887166304</v>
      </c>
      <c r="O18" s="102">
        <f t="shared" si="0"/>
        <v>3.0150624999999964</v>
      </c>
      <c r="P18" s="84">
        <f t="shared" si="3"/>
        <v>0.4210526315789479</v>
      </c>
      <c r="AF18" s="236">
        <f t="shared" si="9"/>
        <v>12</v>
      </c>
      <c r="AG18" s="272">
        <f t="shared" si="4"/>
        <v>2021</v>
      </c>
      <c r="AH18" s="237" t="s">
        <v>119</v>
      </c>
      <c r="AI18" s="313">
        <f>AI17+30</f>
        <v>44531</v>
      </c>
      <c r="AJ18" s="238">
        <f t="shared" si="10"/>
        <v>64034.832451499104</v>
      </c>
      <c r="AK18" s="239">
        <f t="shared" si="11"/>
        <v>66295.975039555677</v>
      </c>
      <c r="AL18" s="240">
        <f t="shared" si="12"/>
        <v>88429.054337784502</v>
      </c>
      <c r="AM18" s="241">
        <f t="shared" si="13"/>
        <v>1.3338525345622123</v>
      </c>
      <c r="AN18" s="242">
        <f t="shared" si="5"/>
        <v>0.95175438596491213</v>
      </c>
      <c r="AO18" s="390">
        <f t="shared" si="14"/>
        <v>1874.2701574732416</v>
      </c>
      <c r="AP18" s="391">
        <f t="shared" si="6"/>
        <v>62.475671915774711</v>
      </c>
    </row>
    <row r="19" spans="3:42" x14ac:dyDescent="0.35">
      <c r="C19" s="19">
        <f t="shared" ref="C19" si="17">C18+1</f>
        <v>3</v>
      </c>
      <c r="D19" s="20" t="s">
        <v>16</v>
      </c>
      <c r="E19" s="21">
        <f>E25*H19</f>
        <v>4746.1111111111113</v>
      </c>
      <c r="F19" s="34">
        <f t="shared" si="16"/>
        <v>434174.24444444448</v>
      </c>
      <c r="G19" s="48">
        <f>G18</f>
        <v>10</v>
      </c>
      <c r="H19" s="65">
        <v>0.1</v>
      </c>
      <c r="I19" s="1"/>
      <c r="K19" s="89">
        <f t="shared" si="7"/>
        <v>2033</v>
      </c>
      <c r="L19" s="91">
        <f t="shared" si="8"/>
        <v>2282876.0887166304</v>
      </c>
      <c r="M19" s="93">
        <f t="shared" si="1"/>
        <v>914898.20654329145</v>
      </c>
      <c r="N19" s="94">
        <f t="shared" si="2"/>
        <v>3152543.1701324903</v>
      </c>
      <c r="O19" s="102">
        <f t="shared" si="0"/>
        <v>3.4457857142857096</v>
      </c>
      <c r="P19" s="84">
        <f t="shared" si="3"/>
        <v>0.36842105263157948</v>
      </c>
      <c r="AF19" s="230">
        <f>AF18+1</f>
        <v>13</v>
      </c>
      <c r="AG19" s="269">
        <f>AG7+1</f>
        <v>2022</v>
      </c>
      <c r="AH19" s="243" t="s">
        <v>108</v>
      </c>
      <c r="AI19" s="314">
        <f>AI18+31</f>
        <v>44562</v>
      </c>
      <c r="AJ19" s="232">
        <f>AL7</f>
        <v>65541.534391534413</v>
      </c>
      <c r="AK19" s="93">
        <f>AL19/AM19</f>
        <v>67543.180425228042</v>
      </c>
      <c r="AL19" s="233">
        <f t="shared" ref="AL19" si="18">AJ19/$L$6*$M$6</f>
        <v>90509.737969261841</v>
      </c>
      <c r="AM19" s="244">
        <f t="shared" si="13"/>
        <v>1.340027777777778</v>
      </c>
      <c r="AN19" s="245">
        <f t="shared" si="5"/>
        <v>0.94736842105263142</v>
      </c>
      <c r="AO19" s="392">
        <f t="shared" si="14"/>
        <v>1865.6329678074662</v>
      </c>
      <c r="AP19" s="393">
        <f t="shared" si="6"/>
        <v>62.187765593582206</v>
      </c>
    </row>
    <row r="20" spans="3:42" x14ac:dyDescent="0.35">
      <c r="C20" s="22" t="s">
        <v>17</v>
      </c>
      <c r="D20" s="23" t="s">
        <v>40</v>
      </c>
      <c r="E20" s="24">
        <f>E19-E21-E22-E23</f>
        <v>4722.3805555555555</v>
      </c>
      <c r="F20" s="33">
        <f t="shared" si="16"/>
        <v>432003.37322222226</v>
      </c>
      <c r="G20" s="47">
        <f>G19</f>
        <v>10</v>
      </c>
      <c r="H20" s="344">
        <f>E20/E25</f>
        <v>9.9500000000000005E-2</v>
      </c>
      <c r="K20" s="89">
        <f>K19+1</f>
        <v>2034</v>
      </c>
      <c r="L20" s="91">
        <f>N19</f>
        <v>3152543.1701324903</v>
      </c>
      <c r="M20" s="93">
        <f t="shared" si="1"/>
        <v>1082940.7342757334</v>
      </c>
      <c r="N20" s="94">
        <f t="shared" si="2"/>
        <v>4353511.996849631</v>
      </c>
      <c r="O20" s="102">
        <f t="shared" si="0"/>
        <v>4.0200833333333268</v>
      </c>
      <c r="P20" s="84">
        <f>P19-$P$6</f>
        <v>0.31578947368421106</v>
      </c>
      <c r="AF20" s="230">
        <f>AF19+1</f>
        <v>14</v>
      </c>
      <c r="AG20" s="269">
        <f>AG19</f>
        <v>2022</v>
      </c>
      <c r="AH20" s="243" t="s">
        <v>109</v>
      </c>
      <c r="AI20" s="314">
        <f>AI19+31</f>
        <v>44593</v>
      </c>
      <c r="AJ20" s="91">
        <f>AL20/$AL$6*$AJ$6</f>
        <v>67048.2363315697</v>
      </c>
      <c r="AK20" s="93">
        <f>AL20/AM20</f>
        <v>68776.008803572709</v>
      </c>
      <c r="AL20" s="94">
        <f>AL19+($AL$19-$AL$7)/12</f>
        <v>92590.421600739122</v>
      </c>
      <c r="AM20" s="102">
        <f t="shared" si="13"/>
        <v>1.3462604651162795</v>
      </c>
      <c r="AN20" s="235">
        <f>AN19-($P$7-$P$8)/12</f>
        <v>0.9429824561403507</v>
      </c>
      <c r="AO20" s="394">
        <f t="shared" si="14"/>
        <v>1856.9957781416908</v>
      </c>
      <c r="AP20" s="395">
        <f t="shared" si="6"/>
        <v>61.899859271389687</v>
      </c>
    </row>
    <row r="21" spans="3:42" x14ac:dyDescent="0.35">
      <c r="C21" s="22" t="s">
        <v>17</v>
      </c>
      <c r="D21" s="23" t="s">
        <v>41</v>
      </c>
      <c r="E21" s="24">
        <f>E18/E25*E19</f>
        <v>0</v>
      </c>
      <c r="F21" s="33">
        <f t="shared" si="16"/>
        <v>0</v>
      </c>
      <c r="G21" s="47">
        <f>G20</f>
        <v>10</v>
      </c>
      <c r="H21" s="344">
        <f>E21/$E$25</f>
        <v>0</v>
      </c>
      <c r="K21" s="89">
        <f t="shared" si="7"/>
        <v>2035</v>
      </c>
      <c r="L21" s="91">
        <f t="shared" si="8"/>
        <v>4353511.996849631</v>
      </c>
      <c r="M21" s="93">
        <f t="shared" si="1"/>
        <v>1246241.321190329</v>
      </c>
      <c r="N21" s="94">
        <f t="shared" si="2"/>
        <v>6011992.7575542545</v>
      </c>
      <c r="O21" s="102">
        <f t="shared" si="0"/>
        <v>4.8240999999999907</v>
      </c>
      <c r="P21" s="84">
        <f t="shared" si="3"/>
        <v>0.26315789473684265</v>
      </c>
      <c r="AF21" s="230">
        <f t="shared" si="9"/>
        <v>15</v>
      </c>
      <c r="AG21" s="270">
        <f t="shared" ref="AG21:AG30" si="19">AG20</f>
        <v>2022</v>
      </c>
      <c r="AH21" s="243" t="s">
        <v>110</v>
      </c>
      <c r="AI21" s="314">
        <f>AI20+28</f>
        <v>44621</v>
      </c>
      <c r="AJ21" s="91">
        <f t="shared" ref="AJ21:AJ30" si="20">AL21/$AL$6*$AJ$6</f>
        <v>68554.938271604959</v>
      </c>
      <c r="AK21" s="93">
        <f t="shared" ref="AK21:AK30" si="21">AL21/AM21</f>
        <v>69994.460174589738</v>
      </c>
      <c r="AL21" s="94">
        <f t="shared" ref="AL21:AL30" si="22">AL20+($AL$19-$AL$7)/12</f>
        <v>94671.105232216403</v>
      </c>
      <c r="AM21" s="102">
        <f t="shared" si="13"/>
        <v>1.3525514018691593</v>
      </c>
      <c r="AN21" s="235">
        <f t="shared" si="5"/>
        <v>0.93859649122806998</v>
      </c>
      <c r="AO21" s="394">
        <f t="shared" si="14"/>
        <v>1848.3585884759154</v>
      </c>
      <c r="AP21" s="395">
        <f t="shared" si="6"/>
        <v>61.611952949197175</v>
      </c>
    </row>
    <row r="22" spans="3:42" x14ac:dyDescent="0.35">
      <c r="C22" s="22" t="s">
        <v>17</v>
      </c>
      <c r="D22" s="23" t="s">
        <v>146</v>
      </c>
      <c r="E22" s="24">
        <f>E19*H22</f>
        <v>23.730555555555558</v>
      </c>
      <c r="F22" s="33">
        <f t="shared" si="16"/>
        <v>2170.8712222222225</v>
      </c>
      <c r="G22" s="47">
        <f>G21</f>
        <v>10</v>
      </c>
      <c r="H22" s="379">
        <f>H28</f>
        <v>5.0000000000000001E-3</v>
      </c>
      <c r="K22" s="89">
        <f t="shared" si="7"/>
        <v>2036</v>
      </c>
      <c r="L22" s="91">
        <f t="shared" si="8"/>
        <v>6011992.7575542545</v>
      </c>
      <c r="M22" s="93">
        <f t="shared" si="1"/>
        <v>1376799.9357912219</v>
      </c>
      <c r="N22" s="94">
        <f t="shared" si="2"/>
        <v>8302275.7128130207</v>
      </c>
      <c r="O22" s="102">
        <f t="shared" si="0"/>
        <v>6.0301249999999849</v>
      </c>
      <c r="P22" s="84">
        <f t="shared" si="3"/>
        <v>0.21052631578947423</v>
      </c>
      <c r="AF22" s="230">
        <f t="shared" si="9"/>
        <v>16</v>
      </c>
      <c r="AG22" s="270">
        <f t="shared" si="19"/>
        <v>2022</v>
      </c>
      <c r="AH22" s="243" t="s">
        <v>111</v>
      </c>
      <c r="AI22" s="314">
        <f>AI21+31</f>
        <v>44652</v>
      </c>
      <c r="AJ22" s="91">
        <f t="shared" si="20"/>
        <v>70061.640211640246</v>
      </c>
      <c r="AK22" s="93">
        <f t="shared" si="21"/>
        <v>71198.534538279157</v>
      </c>
      <c r="AL22" s="94">
        <f t="shared" si="22"/>
        <v>96751.788863693684</v>
      </c>
      <c r="AM22" s="102">
        <f t="shared" si="13"/>
        <v>1.3589014084507045</v>
      </c>
      <c r="AN22" s="235">
        <f t="shared" si="5"/>
        <v>0.93421052631578927</v>
      </c>
      <c r="AO22" s="394">
        <f t="shared" si="14"/>
        <v>1839.7213988101403</v>
      </c>
      <c r="AP22" s="395">
        <f t="shared" si="6"/>
        <v>61.324046627004677</v>
      </c>
    </row>
    <row r="23" spans="3:42" x14ac:dyDescent="0.35">
      <c r="C23" s="22" t="s">
        <v>17</v>
      </c>
      <c r="D23" s="345" t="s">
        <v>135</v>
      </c>
      <c r="E23" s="346">
        <f>F23/$F$5</f>
        <v>0</v>
      </c>
      <c r="F23" s="328">
        <v>0</v>
      </c>
      <c r="G23" s="47">
        <f>G24</f>
        <v>10</v>
      </c>
      <c r="H23" s="347">
        <f>E23/E25</f>
        <v>0</v>
      </c>
      <c r="K23" s="89">
        <f t="shared" si="7"/>
        <v>2037</v>
      </c>
      <c r="L23" s="91">
        <f t="shared" si="8"/>
        <v>8302275.7128130207</v>
      </c>
      <c r="M23" s="93">
        <f t="shared" si="1"/>
        <v>1425971.3620694813</v>
      </c>
      <c r="N23" s="94">
        <f t="shared" si="2"/>
        <v>11465047.412932269</v>
      </c>
      <c r="O23" s="102">
        <f t="shared" si="0"/>
        <v>8.0401666666666394</v>
      </c>
      <c r="P23" s="84">
        <f t="shared" si="3"/>
        <v>0.15789473684210581</v>
      </c>
      <c r="AF23" s="230">
        <f t="shared" si="9"/>
        <v>17</v>
      </c>
      <c r="AG23" s="270">
        <f t="shared" si="19"/>
        <v>2022</v>
      </c>
      <c r="AH23" s="243" t="s">
        <v>112</v>
      </c>
      <c r="AI23" s="314">
        <f t="shared" ref="AI23:AI30" si="23">AI22+30</f>
        <v>44682</v>
      </c>
      <c r="AJ23" s="91">
        <f t="shared" si="20"/>
        <v>71568.342151675504</v>
      </c>
      <c r="AK23" s="93">
        <f t="shared" si="21"/>
        <v>72388.231894640921</v>
      </c>
      <c r="AL23" s="94">
        <f t="shared" si="22"/>
        <v>98832.472495170965</v>
      </c>
      <c r="AM23" s="102">
        <f t="shared" si="13"/>
        <v>1.3653113207547174</v>
      </c>
      <c r="AN23" s="235">
        <f t="shared" si="5"/>
        <v>0.92982456140350855</v>
      </c>
      <c r="AO23" s="394">
        <f t="shared" si="14"/>
        <v>1831.0842091443649</v>
      </c>
      <c r="AP23" s="395">
        <f t="shared" si="6"/>
        <v>61.036140304812157</v>
      </c>
    </row>
    <row r="24" spans="3:42" ht="15" thickBot="1" x14ac:dyDescent="0.4">
      <c r="C24" s="25">
        <f>C19+1</f>
        <v>4</v>
      </c>
      <c r="D24" s="327" t="s">
        <v>23</v>
      </c>
      <c r="E24" s="348">
        <v>0</v>
      </c>
      <c r="F24" s="33">
        <f>E24*F5</f>
        <v>0</v>
      </c>
      <c r="G24" s="47">
        <f>G21</f>
        <v>10</v>
      </c>
      <c r="H24" s="349">
        <f>E24/E25</f>
        <v>0</v>
      </c>
      <c r="K24" s="89">
        <f t="shared" si="7"/>
        <v>2038</v>
      </c>
      <c r="L24" s="91">
        <f t="shared" si="8"/>
        <v>11465047.412932269</v>
      </c>
      <c r="M24" s="93">
        <f t="shared" si="1"/>
        <v>1312799.0317465093</v>
      </c>
      <c r="N24" s="94">
        <f t="shared" si="2"/>
        <v>15832684.522620756</v>
      </c>
      <c r="O24" s="102">
        <f t="shared" si="0"/>
        <v>12.060249999999938</v>
      </c>
      <c r="P24" s="84">
        <f t="shared" si="3"/>
        <v>0.10526315789473739</v>
      </c>
      <c r="AF24" s="230">
        <f t="shared" si="9"/>
        <v>18</v>
      </c>
      <c r="AG24" s="273">
        <f t="shared" si="19"/>
        <v>2022</v>
      </c>
      <c r="AH24" s="243" t="s">
        <v>113</v>
      </c>
      <c r="AI24" s="314">
        <f>AI23+31</f>
        <v>44713</v>
      </c>
      <c r="AJ24" s="91">
        <f t="shared" si="20"/>
        <v>73075.044091710777</v>
      </c>
      <c r="AK24" s="93">
        <f t="shared" si="21"/>
        <v>73563.552243675062</v>
      </c>
      <c r="AL24" s="94">
        <f t="shared" si="22"/>
        <v>100913.15612664825</v>
      </c>
      <c r="AM24" s="102">
        <f t="shared" si="13"/>
        <v>1.3717819905213275</v>
      </c>
      <c r="AN24" s="235">
        <f t="shared" si="5"/>
        <v>0.92543859649122784</v>
      </c>
      <c r="AO24" s="394">
        <f t="shared" si="14"/>
        <v>1822.4470194785895</v>
      </c>
      <c r="AP24" s="395">
        <f t="shared" si="6"/>
        <v>60.748233982619645</v>
      </c>
    </row>
    <row r="25" spans="3:42" ht="15" thickBot="1" x14ac:dyDescent="0.4">
      <c r="C25" s="43" t="s">
        <v>33</v>
      </c>
      <c r="D25" s="329"/>
      <c r="E25" s="36">
        <f>(E17+E18+E24)/(100%-H19)</f>
        <v>47461.111111111109</v>
      </c>
      <c r="F25" s="37">
        <f t="shared" ref="F25:F31" si="24">E25*$F$5</f>
        <v>4341742.444444444</v>
      </c>
      <c r="G25" s="53">
        <f>G24</f>
        <v>10</v>
      </c>
      <c r="H25" s="38">
        <f>E25/E25</f>
        <v>1</v>
      </c>
      <c r="J25" s="51"/>
      <c r="K25" s="89">
        <f t="shared" si="7"/>
        <v>2039</v>
      </c>
      <c r="L25" s="91">
        <f t="shared" si="8"/>
        <v>15832684.522620756</v>
      </c>
      <c r="M25" s="93">
        <f t="shared" si="1"/>
        <v>906456.47430116625</v>
      </c>
      <c r="N25" s="94">
        <f t="shared" si="2"/>
        <v>21864183.388381053</v>
      </c>
      <c r="O25" s="102">
        <f t="shared" si="0"/>
        <v>24.120499999999748</v>
      </c>
      <c r="P25" s="84">
        <f t="shared" si="3"/>
        <v>5.2631578947368973E-2</v>
      </c>
      <c r="AF25" s="230">
        <f t="shared" si="9"/>
        <v>19</v>
      </c>
      <c r="AG25" s="270">
        <f t="shared" si="19"/>
        <v>2022</v>
      </c>
      <c r="AH25" s="243" t="s">
        <v>114</v>
      </c>
      <c r="AI25" s="314">
        <f t="shared" si="23"/>
        <v>44743</v>
      </c>
      <c r="AJ25" s="91">
        <f t="shared" si="20"/>
        <v>74581.74603174605</v>
      </c>
      <c r="AK25" s="93">
        <f t="shared" si="21"/>
        <v>74724.495585381563</v>
      </c>
      <c r="AL25" s="94">
        <f t="shared" si="22"/>
        <v>102993.83975812553</v>
      </c>
      <c r="AM25" s="102">
        <f t="shared" si="13"/>
        <v>1.3783142857142863</v>
      </c>
      <c r="AN25" s="235">
        <f t="shared" si="5"/>
        <v>0.92105263157894712</v>
      </c>
      <c r="AO25" s="394">
        <f t="shared" si="14"/>
        <v>1813.8098298128141</v>
      </c>
      <c r="AP25" s="395">
        <f t="shared" si="6"/>
        <v>60.460327660427133</v>
      </c>
    </row>
    <row r="26" spans="3:42" ht="15" thickBot="1" x14ac:dyDescent="0.4">
      <c r="C26" s="26"/>
      <c r="D26" s="330" t="s">
        <v>20</v>
      </c>
      <c r="E26" s="39">
        <f>E31*$H$26</f>
        <v>45201.058201058215</v>
      </c>
      <c r="F26" s="35">
        <f t="shared" si="24"/>
        <v>4134992.8042328055</v>
      </c>
      <c r="G26" s="49">
        <f>G24</f>
        <v>10</v>
      </c>
      <c r="H26" s="64">
        <v>0.4</v>
      </c>
      <c r="J26" s="1"/>
      <c r="K26" s="90">
        <f t="shared" si="7"/>
        <v>2040</v>
      </c>
      <c r="L26" s="92">
        <f t="shared" si="8"/>
        <v>21864183.388381053</v>
      </c>
      <c r="M26" s="96" t="s">
        <v>59</v>
      </c>
      <c r="N26" s="95">
        <f t="shared" si="2"/>
        <v>30193396.107764322</v>
      </c>
      <c r="O26" s="96" t="s">
        <v>59</v>
      </c>
      <c r="P26" s="98">
        <v>0</v>
      </c>
      <c r="AF26" s="230">
        <f t="shared" si="9"/>
        <v>20</v>
      </c>
      <c r="AG26" s="270">
        <f t="shared" si="19"/>
        <v>2022</v>
      </c>
      <c r="AH26" s="243" t="s">
        <v>115</v>
      </c>
      <c r="AI26" s="314">
        <f>AI25+31</f>
        <v>44774</v>
      </c>
      <c r="AJ26" s="91">
        <f t="shared" si="20"/>
        <v>76088.447971781323</v>
      </c>
      <c r="AK26" s="93">
        <f t="shared" si="21"/>
        <v>75871.061919760439</v>
      </c>
      <c r="AL26" s="94">
        <f t="shared" si="22"/>
        <v>105074.52338960281</v>
      </c>
      <c r="AM26" s="102">
        <f t="shared" si="13"/>
        <v>1.3849090909090913</v>
      </c>
      <c r="AN26" s="235">
        <f t="shared" si="5"/>
        <v>0.91666666666666641</v>
      </c>
      <c r="AO26" s="394">
        <f t="shared" si="14"/>
        <v>1805.1726401470389</v>
      </c>
      <c r="AP26" s="395">
        <f t="shared" si="6"/>
        <v>60.172421338234628</v>
      </c>
    </row>
    <row r="27" spans="3:42" ht="15" thickBot="1" x14ac:dyDescent="0.4">
      <c r="C27" s="26"/>
      <c r="D27" s="27" t="s">
        <v>156</v>
      </c>
      <c r="E27" s="28">
        <f>E31*H27</f>
        <v>18645.436507936512</v>
      </c>
      <c r="F27" s="32">
        <f t="shared" si="24"/>
        <v>1705684.5317460322</v>
      </c>
      <c r="G27" s="49">
        <f>G26</f>
        <v>10</v>
      </c>
      <c r="H27" s="331">
        <f>17%-H28</f>
        <v>0.16500000000000001</v>
      </c>
      <c r="AF27" s="230">
        <f t="shared" si="9"/>
        <v>21</v>
      </c>
      <c r="AG27" s="270">
        <f t="shared" si="19"/>
        <v>2022</v>
      </c>
      <c r="AH27" s="243" t="s">
        <v>116</v>
      </c>
      <c r="AI27" s="314">
        <f>AI26+31</f>
        <v>44805</v>
      </c>
      <c r="AJ27" s="91">
        <f t="shared" si="20"/>
        <v>77595.149911816596</v>
      </c>
      <c r="AK27" s="93">
        <f t="shared" si="21"/>
        <v>77003.251246811662</v>
      </c>
      <c r="AL27" s="94">
        <f t="shared" si="22"/>
        <v>107155.20702108009</v>
      </c>
      <c r="AM27" s="102">
        <f t="shared" si="13"/>
        <v>1.3915673076923083</v>
      </c>
      <c r="AN27" s="235">
        <f t="shared" si="5"/>
        <v>0.91228070175438569</v>
      </c>
      <c r="AO27" s="394">
        <f t="shared" si="14"/>
        <v>1796.5354504812635</v>
      </c>
      <c r="AP27" s="395">
        <f t="shared" si="6"/>
        <v>59.884515016042108</v>
      </c>
    </row>
    <row r="28" spans="3:42" ht="15" thickBot="1" x14ac:dyDescent="0.4">
      <c r="C28" s="26"/>
      <c r="D28" s="27" t="s">
        <v>147</v>
      </c>
      <c r="E28" s="28">
        <f>E31*H28</f>
        <v>565.01322751322766</v>
      </c>
      <c r="F28" s="32">
        <f t="shared" si="24"/>
        <v>51687.410052910069</v>
      </c>
      <c r="G28" s="49">
        <f>G27</f>
        <v>10</v>
      </c>
      <c r="H28" s="64">
        <v>5.0000000000000001E-3</v>
      </c>
      <c r="AF28" s="230">
        <f>AF27+1</f>
        <v>22</v>
      </c>
      <c r="AG28" s="270">
        <f>AG27</f>
        <v>2022</v>
      </c>
      <c r="AH28" s="243" t="s">
        <v>117</v>
      </c>
      <c r="AI28" s="314">
        <f t="shared" si="23"/>
        <v>44835</v>
      </c>
      <c r="AJ28" s="91">
        <f t="shared" si="20"/>
        <v>79101.851851851854</v>
      </c>
      <c r="AK28" s="93">
        <f t="shared" si="21"/>
        <v>78121.063566535275</v>
      </c>
      <c r="AL28" s="94">
        <f>AL27+($AL$19-$AL$7)/12</f>
        <v>109235.89065255737</v>
      </c>
      <c r="AM28" s="102">
        <f t="shared" si="13"/>
        <v>1.3982898550724643</v>
      </c>
      <c r="AN28" s="235">
        <f>AN27-($P$7-$P$8)/12</f>
        <v>0.90789473684210498</v>
      </c>
      <c r="AO28" s="394">
        <f t="shared" si="14"/>
        <v>1787.8982608154881</v>
      </c>
      <c r="AP28" s="395">
        <f t="shared" si="6"/>
        <v>59.596608693849603</v>
      </c>
    </row>
    <row r="29" spans="3:42" s="103" customFormat="1" ht="15" thickBot="1" x14ac:dyDescent="0.4">
      <c r="C29" s="332"/>
      <c r="D29" s="27" t="s">
        <v>133</v>
      </c>
      <c r="E29" s="28">
        <f>E31*H29</f>
        <v>1130.0264550264553</v>
      </c>
      <c r="F29" s="32">
        <f t="shared" si="24"/>
        <v>103374.82010582014</v>
      </c>
      <c r="G29" s="49">
        <f>G26</f>
        <v>10</v>
      </c>
      <c r="H29" s="64">
        <v>0.01</v>
      </c>
      <c r="R29" s="51"/>
      <c r="S29" s="51"/>
      <c r="T29" s="80"/>
      <c r="U29"/>
      <c r="V29"/>
      <c r="W29"/>
      <c r="X29"/>
      <c r="Y29"/>
      <c r="Z29"/>
      <c r="AA29"/>
      <c r="AB29"/>
      <c r="AC29"/>
      <c r="AD29"/>
      <c r="AE29"/>
      <c r="AF29" s="230">
        <f t="shared" si="9"/>
        <v>23</v>
      </c>
      <c r="AG29" s="270">
        <f t="shared" si="19"/>
        <v>2022</v>
      </c>
      <c r="AH29" s="243" t="s">
        <v>118</v>
      </c>
      <c r="AI29" s="314">
        <f>AI28+31</f>
        <v>44866</v>
      </c>
      <c r="AJ29" s="91">
        <f t="shared" si="20"/>
        <v>80608.553791887141</v>
      </c>
      <c r="AK29" s="93">
        <f t="shared" si="21"/>
        <v>79224.498878931219</v>
      </c>
      <c r="AL29" s="94">
        <f t="shared" si="22"/>
        <v>111316.57428403465</v>
      </c>
      <c r="AM29" s="102">
        <f t="shared" si="13"/>
        <v>1.4050776699029133</v>
      </c>
      <c r="AN29" s="235">
        <f t="shared" si="5"/>
        <v>0.90350877192982426</v>
      </c>
      <c r="AO29" s="394">
        <f t="shared" si="14"/>
        <v>1779.2610711497127</v>
      </c>
      <c r="AP29" s="395">
        <f t="shared" si="6"/>
        <v>59.308702371657091</v>
      </c>
    </row>
    <row r="30" spans="3:42" s="103" customFormat="1" ht="15" thickBot="1" x14ac:dyDescent="0.4">
      <c r="C30" s="43" t="s">
        <v>35</v>
      </c>
      <c r="D30" s="329"/>
      <c r="E30" s="36">
        <f>SUM(E26:E29)</f>
        <v>65541.534391534413</v>
      </c>
      <c r="F30" s="37">
        <f t="shared" si="24"/>
        <v>5995739.5661375681</v>
      </c>
      <c r="G30" s="53">
        <f>G25</f>
        <v>10</v>
      </c>
      <c r="H30" s="38">
        <f>E30/E30</f>
        <v>1</v>
      </c>
      <c r="R30" s="51"/>
      <c r="S30" s="51"/>
      <c r="T30" s="80"/>
      <c r="U30"/>
      <c r="V30"/>
      <c r="W30"/>
      <c r="X30"/>
      <c r="Y30"/>
      <c r="Z30"/>
      <c r="AA30"/>
      <c r="AB30"/>
      <c r="AC30"/>
      <c r="AD30"/>
      <c r="AE30"/>
      <c r="AF30" s="236">
        <f t="shared" si="9"/>
        <v>24</v>
      </c>
      <c r="AG30" s="272">
        <f t="shared" si="19"/>
        <v>2022</v>
      </c>
      <c r="AH30" s="246" t="s">
        <v>119</v>
      </c>
      <c r="AI30" s="315">
        <f t="shared" si="23"/>
        <v>44896</v>
      </c>
      <c r="AJ30" s="238">
        <f t="shared" si="20"/>
        <v>82115.2557319224</v>
      </c>
      <c r="AK30" s="239">
        <f t="shared" si="21"/>
        <v>80313.557183999554</v>
      </c>
      <c r="AL30" s="240">
        <f t="shared" si="22"/>
        <v>113397.25791551193</v>
      </c>
      <c r="AM30" s="241">
        <f t="shared" si="13"/>
        <v>1.4119317073170738</v>
      </c>
      <c r="AN30" s="242">
        <f t="shared" si="5"/>
        <v>0.89912280701754355</v>
      </c>
      <c r="AO30" s="396">
        <f t="shared" si="14"/>
        <v>1770.6238814839373</v>
      </c>
      <c r="AP30" s="395">
        <f t="shared" si="6"/>
        <v>59.020796049464579</v>
      </c>
    </row>
    <row r="31" spans="3:42" s="103" customFormat="1" ht="15" thickBot="1" x14ac:dyDescent="0.4">
      <c r="C31" s="59" t="s">
        <v>24</v>
      </c>
      <c r="D31" s="59"/>
      <c r="E31" s="60">
        <f>E25/(1-H32)</f>
        <v>113002.64550264552</v>
      </c>
      <c r="F31" s="61">
        <f t="shared" si="24"/>
        <v>10337482.010582013</v>
      </c>
      <c r="G31" s="62">
        <f>G30</f>
        <v>10</v>
      </c>
      <c r="H31" s="63">
        <f>E31/E25</f>
        <v>2.3809523809523814</v>
      </c>
      <c r="R31" s="51"/>
      <c r="S31" s="51"/>
      <c r="T31" s="80"/>
      <c r="U31"/>
      <c r="V31"/>
      <c r="W31"/>
      <c r="X31"/>
      <c r="Y31"/>
      <c r="Z31"/>
      <c r="AA31"/>
      <c r="AB31"/>
      <c r="AC31"/>
      <c r="AD31"/>
      <c r="AE31"/>
      <c r="AF31" s="230">
        <f>AF30+1</f>
        <v>25</v>
      </c>
      <c r="AG31" s="269">
        <f>AG19+1</f>
        <v>2023</v>
      </c>
      <c r="AH31" s="231" t="s">
        <v>108</v>
      </c>
      <c r="AI31" s="312">
        <v>44927</v>
      </c>
      <c r="AJ31" s="232">
        <f>AL19</f>
        <v>90509.737969261841</v>
      </c>
      <c r="AK31" s="93">
        <f>AL31/AM31</f>
        <v>88092.031612797422</v>
      </c>
      <c r="AL31" s="233">
        <f t="shared" ref="AL31" si="25">AJ31/$L$6*$M$6</f>
        <v>124989.6381480283</v>
      </c>
      <c r="AM31" s="244">
        <f t="shared" si="13"/>
        <v>1.4188529411764712</v>
      </c>
      <c r="AN31" s="245">
        <f t="shared" si="5"/>
        <v>0.89473684210526283</v>
      </c>
      <c r="AO31" s="386">
        <f t="shared" si="14"/>
        <v>1761.9866918181622</v>
      </c>
      <c r="AP31" s="397">
        <f t="shared" si="6"/>
        <v>58.732889727272067</v>
      </c>
    </row>
    <row r="32" spans="3:42" s="103" customFormat="1" ht="15" thickBot="1" x14ac:dyDescent="0.4">
      <c r="C32" s="351"/>
      <c r="D32" s="352" t="s">
        <v>152</v>
      </c>
      <c r="E32" s="353">
        <f>VLOOKUP($G$5,AF:AK,6,0)</f>
        <v>74724.495585381563</v>
      </c>
      <c r="F32" s="354" t="s">
        <v>60</v>
      </c>
      <c r="G32" s="355">
        <v>150</v>
      </c>
      <c r="H32" s="42">
        <f>H26+H27+H28+H29</f>
        <v>0.58000000000000007</v>
      </c>
      <c r="R32" s="51"/>
      <c r="S32" s="51"/>
      <c r="T32" s="80"/>
      <c r="U32"/>
      <c r="V32"/>
      <c r="W32"/>
      <c r="X32"/>
      <c r="Y32"/>
      <c r="Z32"/>
      <c r="AA32"/>
      <c r="AB32"/>
      <c r="AC32"/>
      <c r="AD32"/>
      <c r="AE32"/>
      <c r="AF32" s="230">
        <f t="shared" si="9"/>
        <v>26</v>
      </c>
      <c r="AG32" s="269">
        <f>AG31</f>
        <v>2023</v>
      </c>
      <c r="AH32" s="231" t="s">
        <v>109</v>
      </c>
      <c r="AI32" s="312">
        <f>AI31+31</f>
        <v>44958</v>
      </c>
      <c r="AJ32" s="91">
        <f>AL32/$AL$6*$AJ$6</f>
        <v>92016.439909297129</v>
      </c>
      <c r="AK32" s="93">
        <f>AL32/AM32</f>
        <v>89119.474172175876</v>
      </c>
      <c r="AL32" s="94">
        <f>AL31+($AL$19-$AL$7)/12</f>
        <v>127070.32177950558</v>
      </c>
      <c r="AM32" s="102">
        <f t="shared" si="13"/>
        <v>1.4258423645320204</v>
      </c>
      <c r="AN32" s="235">
        <f t="shared" si="5"/>
        <v>0.89035087719298212</v>
      </c>
      <c r="AO32" s="388">
        <f t="shared" si="14"/>
        <v>1753.3495021523868</v>
      </c>
      <c r="AP32" s="389">
        <f t="shared" si="6"/>
        <v>58.444983405079554</v>
      </c>
    </row>
    <row r="33" spans="3:42" s="103" customFormat="1" ht="15" thickBot="1" x14ac:dyDescent="0.4">
      <c r="C33" s="351"/>
      <c r="D33" s="352" t="s">
        <v>148</v>
      </c>
      <c r="E33" s="353">
        <f>E34*E32/E31</f>
        <v>11208.674337807235</v>
      </c>
      <c r="F33" s="354" t="s">
        <v>60</v>
      </c>
      <c r="G33" s="355">
        <v>150</v>
      </c>
      <c r="H33" s="42">
        <f>E30/E34</f>
        <v>3.8666666666666676</v>
      </c>
      <c r="R33" s="51"/>
      <c r="S33" s="51"/>
      <c r="T33" s="80"/>
      <c r="U33"/>
      <c r="V33"/>
      <c r="W33"/>
      <c r="X33"/>
      <c r="Y33"/>
      <c r="Z33"/>
      <c r="AA33"/>
      <c r="AB33"/>
      <c r="AC33"/>
      <c r="AD33"/>
      <c r="AE33"/>
      <c r="AF33" s="230">
        <f t="shared" si="9"/>
        <v>27</v>
      </c>
      <c r="AG33" s="270">
        <f t="shared" ref="AG33:AG42" si="26">AG32</f>
        <v>2023</v>
      </c>
      <c r="AH33" s="231" t="s">
        <v>110</v>
      </c>
      <c r="AI33" s="312">
        <f>AI32+28</f>
        <v>44986</v>
      </c>
      <c r="AJ33" s="91">
        <f t="shared" ref="AJ33:AJ42" si="27">AL33/$AL$6*$AJ$6</f>
        <v>93523.141849332387</v>
      </c>
      <c r="AK33" s="93">
        <f t="shared" ref="AK33:AK42" si="28">AL33/AM33</f>
        <v>90132.539724226721</v>
      </c>
      <c r="AL33" s="94">
        <f t="shared" ref="AL33:AL42" si="29">AL32+($AL$19-$AL$7)/12</f>
        <v>129151.00541098286</v>
      </c>
      <c r="AM33" s="102">
        <f t="shared" si="13"/>
        <v>1.4329009900990106</v>
      </c>
      <c r="AN33" s="235">
        <f t="shared" si="5"/>
        <v>0.8859649122807014</v>
      </c>
      <c r="AO33" s="388">
        <f t="shared" si="14"/>
        <v>1744.7123124866114</v>
      </c>
      <c r="AP33" s="389">
        <f t="shared" si="6"/>
        <v>58.157077082887049</v>
      </c>
    </row>
    <row r="34" spans="3:42" s="103" customFormat="1" ht="15" thickBot="1" x14ac:dyDescent="0.4">
      <c r="C34" s="285" t="s">
        <v>149</v>
      </c>
      <c r="D34" s="333"/>
      <c r="E34" s="277">
        <f>E31*H34</f>
        <v>16950.396825396827</v>
      </c>
      <c r="F34" s="278">
        <f>E34*$F$5</f>
        <v>1550622.3015873018</v>
      </c>
      <c r="G34" s="279">
        <f>G31</f>
        <v>10</v>
      </c>
      <c r="H34" s="280">
        <v>0.15</v>
      </c>
      <c r="R34" s="51"/>
      <c r="S34" s="51"/>
      <c r="T34" s="80"/>
      <c r="U34"/>
      <c r="V34"/>
      <c r="W34"/>
      <c r="X34"/>
      <c r="Y34"/>
      <c r="Z34"/>
      <c r="AA34"/>
      <c r="AB34"/>
      <c r="AC34"/>
      <c r="AD34"/>
      <c r="AE34"/>
      <c r="AF34" s="230">
        <f t="shared" si="9"/>
        <v>28</v>
      </c>
      <c r="AG34" s="270">
        <f t="shared" si="26"/>
        <v>2023</v>
      </c>
      <c r="AH34" s="231" t="s">
        <v>111</v>
      </c>
      <c r="AI34" s="312">
        <f t="shared" ref="AI34:AI41" si="30">AI33+31</f>
        <v>45017</v>
      </c>
      <c r="AJ34" s="91">
        <f t="shared" si="27"/>
        <v>95029.843789367675</v>
      </c>
      <c r="AK34" s="93">
        <f t="shared" si="28"/>
        <v>91131.228268949912</v>
      </c>
      <c r="AL34" s="94">
        <f t="shared" si="29"/>
        <v>131231.68904246014</v>
      </c>
      <c r="AM34" s="102">
        <f t="shared" si="13"/>
        <v>1.4400298507462694</v>
      </c>
      <c r="AN34" s="235">
        <f t="shared" si="5"/>
        <v>0.88157894736842068</v>
      </c>
      <c r="AO34" s="388">
        <f t="shared" si="14"/>
        <v>1736.0751228208362</v>
      </c>
      <c r="AP34" s="389">
        <f t="shared" si="6"/>
        <v>57.869170760694537</v>
      </c>
    </row>
    <row r="35" spans="3:42" s="103" customFormat="1" ht="15" thickBot="1" x14ac:dyDescent="0.4">
      <c r="C35" s="356"/>
      <c r="D35" s="357" t="s">
        <v>155</v>
      </c>
      <c r="E35" s="358">
        <f>E32+E33</f>
        <v>85933.169923188805</v>
      </c>
      <c r="F35" s="359" t="s">
        <v>60</v>
      </c>
      <c r="G35" s="360">
        <v>150</v>
      </c>
      <c r="H35" s="42">
        <f>H32+H33</f>
        <v>4.4466666666666672</v>
      </c>
      <c r="R35" s="51"/>
      <c r="S35" s="51"/>
      <c r="T35" s="80"/>
      <c r="U35"/>
      <c r="V35"/>
      <c r="W35"/>
      <c r="X35"/>
      <c r="Y35"/>
      <c r="Z35"/>
      <c r="AA35"/>
      <c r="AB35"/>
      <c r="AC35"/>
      <c r="AD35"/>
      <c r="AE35"/>
      <c r="AF35" s="230">
        <f t="shared" si="9"/>
        <v>29</v>
      </c>
      <c r="AG35" s="270">
        <f t="shared" si="26"/>
        <v>2023</v>
      </c>
      <c r="AH35" s="231" t="s">
        <v>112</v>
      </c>
      <c r="AI35" s="312">
        <f>AI34+30</f>
        <v>45047</v>
      </c>
      <c r="AJ35" s="91">
        <f t="shared" si="27"/>
        <v>96536.545729402947</v>
      </c>
      <c r="AK35" s="93">
        <f t="shared" si="28"/>
        <v>92115.539806345492</v>
      </c>
      <c r="AL35" s="94">
        <f t="shared" si="29"/>
        <v>133312.37267393744</v>
      </c>
      <c r="AM35" s="102">
        <f t="shared" si="13"/>
        <v>1.4472300000000007</v>
      </c>
      <c r="AN35" s="235">
        <f t="shared" si="5"/>
        <v>0.87719298245613997</v>
      </c>
      <c r="AO35" s="388">
        <f t="shared" si="14"/>
        <v>1727.4379331550608</v>
      </c>
      <c r="AP35" s="389">
        <f t="shared" si="6"/>
        <v>57.581264438502025</v>
      </c>
    </row>
    <row r="36" spans="3:42" s="103" customFormat="1" ht="15" thickBot="1" x14ac:dyDescent="0.4">
      <c r="C36" s="361" t="s">
        <v>150</v>
      </c>
      <c r="D36" s="362"/>
      <c r="E36" s="363">
        <f>E31+E34</f>
        <v>129953.04232804236</v>
      </c>
      <c r="F36" s="363">
        <f>E36*$F$5</f>
        <v>11888104.312169315</v>
      </c>
      <c r="G36" s="364">
        <f>G34</f>
        <v>10</v>
      </c>
      <c r="H36" s="365">
        <f>E36/E25</f>
        <v>2.7380952380952386</v>
      </c>
      <c r="R36" s="51"/>
      <c r="S36" s="51"/>
      <c r="T36" s="80"/>
      <c r="U36"/>
      <c r="V36"/>
      <c r="W36"/>
      <c r="X36"/>
      <c r="Y36"/>
      <c r="Z36"/>
      <c r="AA36"/>
      <c r="AB36"/>
      <c r="AC36"/>
      <c r="AD36"/>
      <c r="AE36"/>
      <c r="AF36" s="230">
        <f t="shared" si="9"/>
        <v>30</v>
      </c>
      <c r="AG36" s="273">
        <f t="shared" si="26"/>
        <v>2023</v>
      </c>
      <c r="AH36" s="231" t="s">
        <v>113</v>
      </c>
      <c r="AI36" s="312">
        <f t="shared" si="30"/>
        <v>45078</v>
      </c>
      <c r="AJ36" s="91">
        <f t="shared" si="27"/>
        <v>98043.24766943822</v>
      </c>
      <c r="AK36" s="93">
        <f t="shared" si="28"/>
        <v>93085.474336413419</v>
      </c>
      <c r="AL36" s="94">
        <f t="shared" si="29"/>
        <v>135393.05630541474</v>
      </c>
      <c r="AM36" s="102">
        <f t="shared" si="13"/>
        <v>1.4545025125628148</v>
      </c>
      <c r="AN36" s="235">
        <f t="shared" si="5"/>
        <v>0.87280701754385925</v>
      </c>
      <c r="AO36" s="388">
        <f t="shared" si="14"/>
        <v>1718.8007434892857</v>
      </c>
      <c r="AP36" s="389">
        <f t="shared" si="6"/>
        <v>57.293358116309513</v>
      </c>
    </row>
    <row r="37" spans="3:42" s="103" customFormat="1" ht="15" thickBot="1" x14ac:dyDescent="0.4">
      <c r="C37" s="371" t="s">
        <v>22</v>
      </c>
      <c r="D37" s="372"/>
      <c r="E37" s="373">
        <f>E31*H37</f>
        <v>0</v>
      </c>
      <c r="F37" s="278">
        <f>E37*$F$5</f>
        <v>0</v>
      </c>
      <c r="G37" s="279">
        <f>G30</f>
        <v>10</v>
      </c>
      <c r="H37" s="280">
        <v>0</v>
      </c>
      <c r="R37" s="51"/>
      <c r="S37" s="51"/>
      <c r="T37" s="80"/>
      <c r="U37"/>
      <c r="V37"/>
      <c r="W37"/>
      <c r="X37"/>
      <c r="Y37"/>
      <c r="Z37"/>
      <c r="AA37"/>
      <c r="AB37"/>
      <c r="AC37"/>
      <c r="AD37"/>
      <c r="AE37"/>
      <c r="AF37" s="230">
        <f t="shared" si="9"/>
        <v>31</v>
      </c>
      <c r="AG37" s="270">
        <f t="shared" si="26"/>
        <v>2023</v>
      </c>
      <c r="AH37" s="231" t="s">
        <v>114</v>
      </c>
      <c r="AI37" s="312">
        <f>AI36+30</f>
        <v>45108</v>
      </c>
      <c r="AJ37" s="91">
        <f t="shared" si="27"/>
        <v>99549.949609473522</v>
      </c>
      <c r="AK37" s="93">
        <f t="shared" si="28"/>
        <v>94041.031859153722</v>
      </c>
      <c r="AL37" s="94">
        <f t="shared" si="29"/>
        <v>137473.73993689203</v>
      </c>
      <c r="AM37" s="102">
        <f t="shared" si="13"/>
        <v>1.4618484848484856</v>
      </c>
      <c r="AN37" s="235">
        <f t="shared" si="5"/>
        <v>0.86842105263157854</v>
      </c>
      <c r="AO37" s="388">
        <f t="shared" si="14"/>
        <v>1710.1635538235103</v>
      </c>
      <c r="AP37" s="389">
        <f t="shared" si="6"/>
        <v>57.005451794117008</v>
      </c>
    </row>
    <row r="38" spans="3:42" s="103" customFormat="1" ht="15" thickBot="1" x14ac:dyDescent="0.4">
      <c r="C38" s="374"/>
      <c r="D38" s="281" t="s">
        <v>127</v>
      </c>
      <c r="E38" s="284">
        <f>E37*(1-H32)</f>
        <v>0</v>
      </c>
      <c r="F38" s="282" t="s">
        <v>60</v>
      </c>
      <c r="G38" s="283" t="s">
        <v>128</v>
      </c>
      <c r="H38" s="42">
        <f>E38/E31</f>
        <v>0</v>
      </c>
      <c r="R38" s="51"/>
      <c r="S38" s="51"/>
      <c r="T38" s="80"/>
      <c r="U38"/>
      <c r="V38"/>
      <c r="W38"/>
      <c r="X38"/>
      <c r="Y38"/>
      <c r="Z38"/>
      <c r="AA38"/>
      <c r="AB38"/>
      <c r="AC38"/>
      <c r="AD38"/>
      <c r="AE38"/>
      <c r="AF38" s="230">
        <f t="shared" si="9"/>
        <v>32</v>
      </c>
      <c r="AG38" s="270">
        <f t="shared" si="26"/>
        <v>2023</v>
      </c>
      <c r="AH38" s="231" t="s">
        <v>115</v>
      </c>
      <c r="AI38" s="312">
        <f t="shared" si="30"/>
        <v>45139</v>
      </c>
      <c r="AJ38" s="91">
        <f t="shared" si="27"/>
        <v>101056.6515495088</v>
      </c>
      <c r="AK38" s="93">
        <f t="shared" si="28"/>
        <v>94982.212374566385</v>
      </c>
      <c r="AL38" s="94">
        <f t="shared" si="29"/>
        <v>139554.42356836933</v>
      </c>
      <c r="AM38" s="102">
        <f t="shared" si="13"/>
        <v>1.4692690355329958</v>
      </c>
      <c r="AN38" s="235">
        <f t="shared" si="5"/>
        <v>0.86403508771929782</v>
      </c>
      <c r="AO38" s="388">
        <f t="shared" si="14"/>
        <v>1701.5263641577349</v>
      </c>
      <c r="AP38" s="389">
        <f t="shared" si="6"/>
        <v>56.717545471924488</v>
      </c>
    </row>
    <row r="39" spans="3:42" s="103" customFormat="1" ht="15" thickBot="1" x14ac:dyDescent="0.4">
      <c r="C39" s="366" t="s">
        <v>151</v>
      </c>
      <c r="D39" s="367"/>
      <c r="E39" s="368">
        <f>E31+E34+E37</f>
        <v>129953.04232804236</v>
      </c>
      <c r="F39" s="368">
        <f>E39*$F$5</f>
        <v>11888104.312169315</v>
      </c>
      <c r="G39" s="369">
        <f>G37</f>
        <v>10</v>
      </c>
      <c r="H39" s="370">
        <f>E39/E25</f>
        <v>2.7380952380952386</v>
      </c>
      <c r="R39" s="51"/>
      <c r="S39" s="51"/>
      <c r="T39" s="80"/>
      <c r="U39"/>
      <c r="V39"/>
      <c r="W39"/>
      <c r="X39"/>
      <c r="Y39"/>
      <c r="Z39"/>
      <c r="AA39"/>
      <c r="AB39"/>
      <c r="AC39"/>
      <c r="AD39"/>
      <c r="AE39"/>
      <c r="AF39" s="230">
        <f t="shared" si="9"/>
        <v>33</v>
      </c>
      <c r="AG39" s="270">
        <f t="shared" si="26"/>
        <v>2023</v>
      </c>
      <c r="AH39" s="231" t="s">
        <v>116</v>
      </c>
      <c r="AI39" s="312">
        <f t="shared" si="30"/>
        <v>45170</v>
      </c>
      <c r="AJ39" s="91">
        <f t="shared" si="27"/>
        <v>102563.35348954407</v>
      </c>
      <c r="AK39" s="93">
        <f t="shared" si="28"/>
        <v>95909.015882651423</v>
      </c>
      <c r="AL39" s="94">
        <f t="shared" si="29"/>
        <v>141635.10719984662</v>
      </c>
      <c r="AM39" s="102">
        <f t="shared" si="13"/>
        <v>1.4767653061224497</v>
      </c>
      <c r="AN39" s="235">
        <f t="shared" si="5"/>
        <v>0.85964912280701711</v>
      </c>
      <c r="AO39" s="388">
        <f t="shared" si="14"/>
        <v>1692.8891744919597</v>
      </c>
      <c r="AP39" s="389">
        <f t="shared" si="6"/>
        <v>56.429639149731983</v>
      </c>
    </row>
    <row r="40" spans="3:42" s="103" customFormat="1" ht="15" thickBot="1" x14ac:dyDescent="0.4">
      <c r="C40" s="334" t="s">
        <v>28</v>
      </c>
      <c r="D40" s="335"/>
      <c r="E40" s="52">
        <f>E31/H40</f>
        <v>12390.640954237446</v>
      </c>
      <c r="F40" s="54">
        <f>E40*$F$5</f>
        <v>1133495.8344936415</v>
      </c>
      <c r="G40" s="55">
        <f>G32*H32+G17*(1-H32)</f>
        <v>91.200000000000017</v>
      </c>
      <c r="H40" s="85">
        <f>G40/G17</f>
        <v>9.120000000000001</v>
      </c>
      <c r="R40" s="51"/>
      <c r="S40" s="51"/>
      <c r="T40" s="80"/>
      <c r="U40"/>
      <c r="V40"/>
      <c r="W40"/>
      <c r="X40"/>
      <c r="Y40"/>
      <c r="Z40"/>
      <c r="AA40"/>
      <c r="AB40"/>
      <c r="AC40"/>
      <c r="AD40"/>
      <c r="AE40"/>
      <c r="AF40" s="230">
        <f t="shared" si="9"/>
        <v>34</v>
      </c>
      <c r="AG40" s="270">
        <f t="shared" si="26"/>
        <v>2023</v>
      </c>
      <c r="AH40" s="231" t="s">
        <v>117</v>
      </c>
      <c r="AI40" s="312">
        <f>AI39+30</f>
        <v>45200</v>
      </c>
      <c r="AJ40" s="91">
        <f t="shared" si="27"/>
        <v>104070.05542957937</v>
      </c>
      <c r="AK40" s="93">
        <f t="shared" si="28"/>
        <v>96821.442383408808</v>
      </c>
      <c r="AL40" s="94">
        <f t="shared" si="29"/>
        <v>143715.79083132392</v>
      </c>
      <c r="AM40" s="102">
        <f t="shared" si="13"/>
        <v>1.4843384615384625</v>
      </c>
      <c r="AN40" s="235">
        <f t="shared" si="5"/>
        <v>0.85526315789473639</v>
      </c>
      <c r="AO40" s="388">
        <f t="shared" si="14"/>
        <v>1684.2519848261841</v>
      </c>
      <c r="AP40" s="389">
        <f t="shared" si="6"/>
        <v>56.141732827539464</v>
      </c>
    </row>
    <row r="41" spans="3:42" s="103" customFormat="1" ht="15" thickBot="1" x14ac:dyDescent="0.4">
      <c r="C41" s="311" t="s">
        <v>32</v>
      </c>
      <c r="D41" s="336"/>
      <c r="E41" s="57"/>
      <c r="F41" s="58"/>
      <c r="G41" s="56"/>
      <c r="H41" s="86">
        <f>1-E40/E31</f>
        <v>0.89035087719298245</v>
      </c>
      <c r="R41" s="51"/>
      <c r="S41" s="51"/>
      <c r="T41" s="80"/>
      <c r="U41"/>
      <c r="V41"/>
      <c r="W41"/>
      <c r="X41"/>
      <c r="Y41"/>
      <c r="Z41"/>
      <c r="AA41"/>
      <c r="AB41"/>
      <c r="AC41"/>
      <c r="AD41"/>
      <c r="AE41"/>
      <c r="AF41" s="230">
        <f t="shared" si="9"/>
        <v>35</v>
      </c>
      <c r="AG41" s="270">
        <f t="shared" si="26"/>
        <v>2023</v>
      </c>
      <c r="AH41" s="231" t="s">
        <v>118</v>
      </c>
      <c r="AI41" s="312">
        <f t="shared" si="30"/>
        <v>45231</v>
      </c>
      <c r="AJ41" s="91">
        <f t="shared" si="27"/>
        <v>105576.75736961464</v>
      </c>
      <c r="AK41" s="93">
        <f t="shared" si="28"/>
        <v>97719.491876838583</v>
      </c>
      <c r="AL41" s="94">
        <f t="shared" si="29"/>
        <v>145796.47446280121</v>
      </c>
      <c r="AM41" s="102">
        <f t="shared" si="13"/>
        <v>1.4919896907216503</v>
      </c>
      <c r="AN41" s="235">
        <f t="shared" si="5"/>
        <v>0.85087719298245568</v>
      </c>
      <c r="AO41" s="388">
        <f t="shared" si="14"/>
        <v>1675.6147951604089</v>
      </c>
      <c r="AP41" s="389">
        <f t="shared" si="6"/>
        <v>55.853826505346959</v>
      </c>
    </row>
    <row r="42" spans="3:42" s="103" customFormat="1" ht="15.5" thickTop="1" thickBot="1" x14ac:dyDescent="0.4">
      <c r="C42" s="337"/>
      <c r="D42" s="286"/>
      <c r="E42" s="286"/>
      <c r="F42" s="286"/>
      <c r="G42" s="286"/>
      <c r="H42" s="287"/>
      <c r="P42" s="106"/>
      <c r="Q42" s="51"/>
      <c r="R42" s="51"/>
      <c r="S42" s="51"/>
      <c r="T42" s="80"/>
      <c r="U42"/>
      <c r="V42"/>
      <c r="W42"/>
      <c r="X42"/>
      <c r="Y42"/>
      <c r="Z42"/>
      <c r="AA42"/>
      <c r="AB42"/>
      <c r="AC42"/>
      <c r="AD42"/>
      <c r="AE42"/>
      <c r="AF42" s="236">
        <f t="shared" si="9"/>
        <v>36</v>
      </c>
      <c r="AG42" s="272">
        <f t="shared" si="26"/>
        <v>2023</v>
      </c>
      <c r="AH42" s="237" t="s">
        <v>119</v>
      </c>
      <c r="AI42" s="313">
        <f>AI41+30</f>
        <v>45261</v>
      </c>
      <c r="AJ42" s="238">
        <f t="shared" si="27"/>
        <v>107083.45930964992</v>
      </c>
      <c r="AK42" s="239">
        <f t="shared" si="28"/>
        <v>98603.164362940704</v>
      </c>
      <c r="AL42" s="240">
        <f t="shared" si="29"/>
        <v>147877.15809427851</v>
      </c>
      <c r="AM42" s="241">
        <f t="shared" si="13"/>
        <v>1.4997202072538869</v>
      </c>
      <c r="AN42" s="242">
        <f t="shared" si="5"/>
        <v>0.84649122807017496</v>
      </c>
      <c r="AO42" s="390">
        <f t="shared" si="14"/>
        <v>1666.9776054946335</v>
      </c>
      <c r="AP42" s="389">
        <f t="shared" si="6"/>
        <v>55.565920183154454</v>
      </c>
    </row>
    <row r="43" spans="3:42" s="103" customFormat="1" ht="15.5" thickTop="1" thickBot="1" x14ac:dyDescent="0.4">
      <c r="C43" s="288" t="s">
        <v>129</v>
      </c>
      <c r="D43" s="338"/>
      <c r="E43" s="289">
        <f>SUM(E44:E45)</f>
        <v>65541.534391534413</v>
      </c>
      <c r="F43" s="290">
        <f t="shared" ref="F43:F49" si="31">E43*$F$5</f>
        <v>5995739.5661375681</v>
      </c>
      <c r="G43" s="291" t="str">
        <f>G38</f>
        <v>Фактический</v>
      </c>
      <c r="H43" s="292">
        <f>E43/E43</f>
        <v>1</v>
      </c>
      <c r="P43" s="106"/>
      <c r="Q43" s="51"/>
      <c r="R43" s="51"/>
      <c r="S43" s="51"/>
      <c r="T43" s="80"/>
      <c r="U43"/>
      <c r="V43"/>
      <c r="W43"/>
      <c r="X43"/>
      <c r="Y43"/>
      <c r="Z43"/>
      <c r="AA43"/>
      <c r="AB43"/>
      <c r="AC43"/>
      <c r="AD43"/>
      <c r="AE43"/>
      <c r="AF43" s="230">
        <f>AF42+1</f>
        <v>37</v>
      </c>
      <c r="AG43" s="269">
        <f>AG31+1</f>
        <v>2024</v>
      </c>
      <c r="AH43" s="243" t="s">
        <v>108</v>
      </c>
      <c r="AI43" s="314">
        <f>AI42+31</f>
        <v>45292</v>
      </c>
      <c r="AJ43" s="232">
        <f>AL31</f>
        <v>124989.6381480283</v>
      </c>
      <c r="AK43" s="93">
        <f>AL43/AM43</f>
        <v>114494.96545752943</v>
      </c>
      <c r="AL43" s="233">
        <f t="shared" ref="AL43" si="32">AJ43/$L$6*$M$6</f>
        <v>172604.73839489627</v>
      </c>
      <c r="AM43" s="244">
        <f t="shared" si="13"/>
        <v>1.5075312500000009</v>
      </c>
      <c r="AN43" s="245">
        <f t="shared" si="5"/>
        <v>0.84210526315789425</v>
      </c>
      <c r="AO43" s="392">
        <f t="shared" si="14"/>
        <v>1658.3404158288583</v>
      </c>
      <c r="AP43" s="398">
        <f t="shared" si="6"/>
        <v>55.278013860961941</v>
      </c>
    </row>
    <row r="44" spans="3:42" s="103" customFormat="1" ht="15" thickBot="1" x14ac:dyDescent="0.4">
      <c r="C44" s="43" t="s">
        <v>130</v>
      </c>
      <c r="D44" s="329"/>
      <c r="E44" s="36">
        <f>E30</f>
        <v>65541.534391534413</v>
      </c>
      <c r="F44" s="37">
        <f t="shared" si="31"/>
        <v>5995739.5661375681</v>
      </c>
      <c r="G44" s="53">
        <f>G30</f>
        <v>10</v>
      </c>
      <c r="H44" s="38">
        <f>E44/E44</f>
        <v>1</v>
      </c>
      <c r="P44" s="106"/>
      <c r="Q44" s="51"/>
      <c r="R44" s="51"/>
      <c r="S44" s="51"/>
      <c r="T44" s="80"/>
      <c r="U44"/>
      <c r="V44"/>
      <c r="W44"/>
      <c r="X44"/>
      <c r="Y44"/>
      <c r="Z44"/>
      <c r="AA44"/>
      <c r="AB44"/>
      <c r="AC44"/>
      <c r="AD44"/>
      <c r="AE44"/>
      <c r="AF44" s="230">
        <f t="shared" si="9"/>
        <v>38</v>
      </c>
      <c r="AG44" s="269">
        <f>AG43</f>
        <v>2024</v>
      </c>
      <c r="AH44" s="243" t="s">
        <v>109</v>
      </c>
      <c r="AI44" s="314">
        <f>AI43+31</f>
        <v>45323</v>
      </c>
      <c r="AJ44" s="91">
        <f>AL44/$AL$6*$AJ$6</f>
        <v>126496.34008806357</v>
      </c>
      <c r="AK44" s="93">
        <f>AL44/AM44</f>
        <v>115271.64171222725</v>
      </c>
      <c r="AL44" s="94">
        <f>AL43+($AL$19-$AL$7)/12</f>
        <v>174685.42202637356</v>
      </c>
      <c r="AM44" s="102">
        <f t="shared" si="13"/>
        <v>1.5154240837696344</v>
      </c>
      <c r="AN44" s="235">
        <f t="shared" si="5"/>
        <v>0.83771929824561353</v>
      </c>
      <c r="AO44" s="394">
        <f t="shared" si="14"/>
        <v>1649.7032261630829</v>
      </c>
      <c r="AP44" s="395">
        <f t="shared" si="6"/>
        <v>54.990107538769429</v>
      </c>
    </row>
    <row r="45" spans="3:42" ht="15" thickBot="1" x14ac:dyDescent="0.4">
      <c r="C45" s="293" t="s">
        <v>131</v>
      </c>
      <c r="D45" s="339"/>
      <c r="E45" s="294">
        <f>E31*H37*H32</f>
        <v>0</v>
      </c>
      <c r="F45" s="295">
        <f t="shared" si="31"/>
        <v>0</v>
      </c>
      <c r="G45" s="296">
        <f>G31</f>
        <v>10</v>
      </c>
      <c r="H45" s="297">
        <f>IFERROR(E45/E45,0)</f>
        <v>0</v>
      </c>
      <c r="AF45" s="230">
        <f t="shared" si="9"/>
        <v>39</v>
      </c>
      <c r="AG45" s="270">
        <f t="shared" ref="AG45:AG54" si="33">AG44</f>
        <v>2024</v>
      </c>
      <c r="AH45" s="243" t="s">
        <v>110</v>
      </c>
      <c r="AI45" s="314">
        <f>AI44+29</f>
        <v>45352</v>
      </c>
      <c r="AJ45" s="91">
        <f t="shared" ref="AJ45:AJ54" si="34">AL45/$AL$6*$AJ$6</f>
        <v>128003.04202809885</v>
      </c>
      <c r="AK45" s="93">
        <f t="shared" ref="AK45:AK54" si="35">AL45/AM45</f>
        <v>116033.94095959744</v>
      </c>
      <c r="AL45" s="94">
        <f t="shared" ref="AL45:AL54" si="36">AL44+($AL$19-$AL$7)/12</f>
        <v>176766.10565785086</v>
      </c>
      <c r="AM45" s="102">
        <f t="shared" si="13"/>
        <v>1.523400000000001</v>
      </c>
      <c r="AN45" s="235">
        <f t="shared" si="5"/>
        <v>0.83333333333333282</v>
      </c>
      <c r="AO45" s="394">
        <f t="shared" si="14"/>
        <v>1641.0660364973076</v>
      </c>
      <c r="AP45" s="395">
        <f t="shared" si="6"/>
        <v>54.702201216576917</v>
      </c>
    </row>
    <row r="46" spans="3:42" ht="15" thickBot="1" x14ac:dyDescent="0.4">
      <c r="C46" s="340"/>
      <c r="D46" s="298" t="s">
        <v>132</v>
      </c>
      <c r="E46" s="299">
        <f>E37*H46</f>
        <v>0</v>
      </c>
      <c r="F46" s="300">
        <f t="shared" si="31"/>
        <v>0</v>
      </c>
      <c r="G46" s="301" t="str">
        <f>G43</f>
        <v>Фактический</v>
      </c>
      <c r="H46" s="302">
        <f>H26</f>
        <v>0.4</v>
      </c>
      <c r="AF46" s="230">
        <f t="shared" si="9"/>
        <v>40</v>
      </c>
      <c r="AG46" s="270">
        <f t="shared" si="33"/>
        <v>2024</v>
      </c>
      <c r="AH46" s="243" t="s">
        <v>111</v>
      </c>
      <c r="AI46" s="314">
        <f>AI45+31</f>
        <v>45383</v>
      </c>
      <c r="AJ46" s="91">
        <f t="shared" si="34"/>
        <v>129509.74396813415</v>
      </c>
      <c r="AK46" s="93">
        <f t="shared" si="35"/>
        <v>116781.86319963999</v>
      </c>
      <c r="AL46" s="94">
        <f t="shared" si="36"/>
        <v>178846.78928932815</v>
      </c>
      <c r="AM46" s="102">
        <f t="shared" si="13"/>
        <v>1.5314603174603185</v>
      </c>
      <c r="AN46" s="235">
        <f t="shared" si="5"/>
        <v>0.8289473684210521</v>
      </c>
      <c r="AO46" s="394">
        <f t="shared" si="14"/>
        <v>1632.4288468315322</v>
      </c>
      <c r="AP46" s="395">
        <f t="shared" si="6"/>
        <v>54.414294894384405</v>
      </c>
    </row>
    <row r="47" spans="3:42" ht="15" thickBot="1" x14ac:dyDescent="0.4">
      <c r="C47" s="340"/>
      <c r="D47" s="303" t="str">
        <f>D27</f>
        <v>"Сопутствующие" проекты (с/х, здравоохранение, культура, наука, спорт)</v>
      </c>
      <c r="E47" s="304">
        <f>E37*H47</f>
        <v>0</v>
      </c>
      <c r="F47" s="305">
        <f t="shared" si="31"/>
        <v>0</v>
      </c>
      <c r="G47" s="341" t="str">
        <f>G46</f>
        <v>Фактический</v>
      </c>
      <c r="H47" s="342">
        <f>H27</f>
        <v>0.16500000000000001</v>
      </c>
      <c r="AF47" s="230">
        <f t="shared" si="9"/>
        <v>41</v>
      </c>
      <c r="AG47" s="270">
        <f t="shared" si="33"/>
        <v>2024</v>
      </c>
      <c r="AH47" s="243" t="s">
        <v>112</v>
      </c>
      <c r="AI47" s="314">
        <f t="shared" ref="AI47:AI54" si="37">AI46+30</f>
        <v>45413</v>
      </c>
      <c r="AJ47" s="91">
        <f t="shared" si="34"/>
        <v>131016.44590816944</v>
      </c>
      <c r="AK47" s="93">
        <f t="shared" si="35"/>
        <v>117515.4084323549</v>
      </c>
      <c r="AL47" s="94">
        <f t="shared" si="36"/>
        <v>180927.47292080545</v>
      </c>
      <c r="AM47" s="102">
        <f t="shared" si="13"/>
        <v>1.5396063829787245</v>
      </c>
      <c r="AN47" s="235">
        <f t="shared" si="5"/>
        <v>0.82456140350877138</v>
      </c>
      <c r="AO47" s="394">
        <f t="shared" si="14"/>
        <v>1623.7916571657568</v>
      </c>
      <c r="AP47" s="395">
        <f t="shared" si="6"/>
        <v>54.126388572191892</v>
      </c>
    </row>
    <row r="48" spans="3:42" ht="15" thickBot="1" x14ac:dyDescent="0.4">
      <c r="C48" s="340"/>
      <c r="D48" s="303" t="str">
        <f>D28</f>
        <v>"Сопутствующий" проект "Интернациональное Агенство Безопасности" (ISA)</v>
      </c>
      <c r="E48" s="304">
        <f>E38*H48</f>
        <v>0</v>
      </c>
      <c r="F48" s="305">
        <f t="shared" si="31"/>
        <v>0</v>
      </c>
      <c r="G48" s="341" t="str">
        <f>G47</f>
        <v>Фактический</v>
      </c>
      <c r="H48" s="342">
        <f>H28</f>
        <v>5.0000000000000001E-3</v>
      </c>
      <c r="AF48" s="230">
        <f t="shared" si="9"/>
        <v>42</v>
      </c>
      <c r="AG48" s="273">
        <f t="shared" si="33"/>
        <v>2024</v>
      </c>
      <c r="AH48" s="243" t="s">
        <v>113</v>
      </c>
      <c r="AI48" s="314">
        <f>AI47+31</f>
        <v>45444</v>
      </c>
      <c r="AJ48" s="91">
        <f t="shared" si="34"/>
        <v>132523.14784820471</v>
      </c>
      <c r="AK48" s="93">
        <f t="shared" si="35"/>
        <v>118234.5766577422</v>
      </c>
      <c r="AL48" s="94">
        <f t="shared" si="36"/>
        <v>183008.15655228274</v>
      </c>
      <c r="AM48" s="102">
        <f t="shared" si="13"/>
        <v>1.5478395721925144</v>
      </c>
      <c r="AN48" s="235">
        <f t="shared" si="5"/>
        <v>0.82017543859649067</v>
      </c>
      <c r="AO48" s="394">
        <f t="shared" si="14"/>
        <v>1615.1544674999816</v>
      </c>
      <c r="AP48" s="395">
        <f t="shared" si="6"/>
        <v>53.83848224999938</v>
      </c>
    </row>
    <row r="49" spans="3:42" ht="15" thickBot="1" x14ac:dyDescent="0.4">
      <c r="C49" s="343"/>
      <c r="D49" s="306" t="s">
        <v>134</v>
      </c>
      <c r="E49" s="307">
        <f>E37*H49</f>
        <v>0</v>
      </c>
      <c r="F49" s="308">
        <f t="shared" si="31"/>
        <v>0</v>
      </c>
      <c r="G49" s="309" t="str">
        <f>G47</f>
        <v>Фактический</v>
      </c>
      <c r="H49" s="310">
        <f>H29</f>
        <v>0.01</v>
      </c>
      <c r="AF49" s="230">
        <f t="shared" si="9"/>
        <v>43</v>
      </c>
      <c r="AG49" s="270">
        <f t="shared" si="33"/>
        <v>2024</v>
      </c>
      <c r="AH49" s="243" t="s">
        <v>114</v>
      </c>
      <c r="AI49" s="314">
        <f t="shared" si="37"/>
        <v>45474</v>
      </c>
      <c r="AJ49" s="91">
        <f t="shared" si="34"/>
        <v>134029.84978823998</v>
      </c>
      <c r="AK49" s="93">
        <f t="shared" si="35"/>
        <v>118939.36787580184</v>
      </c>
      <c r="AL49" s="94">
        <f t="shared" si="36"/>
        <v>185088.84018376004</v>
      </c>
      <c r="AM49" s="102">
        <f t="shared" si="13"/>
        <v>1.5561612903225819</v>
      </c>
      <c r="AN49" s="235">
        <f t="shared" si="5"/>
        <v>0.81578947368420995</v>
      </c>
      <c r="AO49" s="394">
        <f t="shared" si="14"/>
        <v>1606.5172778342062</v>
      </c>
      <c r="AP49" s="395">
        <f t="shared" si="6"/>
        <v>53.550575927806868</v>
      </c>
    </row>
    <row r="50" spans="3:42" ht="15" thickTop="1" x14ac:dyDescent="0.35">
      <c r="AF50" s="230">
        <f t="shared" si="9"/>
        <v>44</v>
      </c>
      <c r="AG50" s="270">
        <f t="shared" si="33"/>
        <v>2024</v>
      </c>
      <c r="AH50" s="243" t="s">
        <v>115</v>
      </c>
      <c r="AI50" s="314">
        <f>AI49+31</f>
        <v>45505</v>
      </c>
      <c r="AJ50" s="91">
        <f t="shared" si="34"/>
        <v>135536.55172827526</v>
      </c>
      <c r="AK50" s="93">
        <f t="shared" si="35"/>
        <v>119629.78208653386</v>
      </c>
      <c r="AL50" s="94">
        <f t="shared" si="36"/>
        <v>187169.52381523733</v>
      </c>
      <c r="AM50" s="102">
        <f t="shared" si="13"/>
        <v>1.5645729729729743</v>
      </c>
      <c r="AN50" s="235">
        <f t="shared" si="5"/>
        <v>0.81140350877192924</v>
      </c>
      <c r="AO50" s="394">
        <f t="shared" si="14"/>
        <v>1597.8800881684308</v>
      </c>
      <c r="AP50" s="395">
        <f t="shared" si="6"/>
        <v>53.262669605614356</v>
      </c>
    </row>
    <row r="51" spans="3:42" x14ac:dyDescent="0.35">
      <c r="AF51" s="230">
        <f t="shared" si="9"/>
        <v>45</v>
      </c>
      <c r="AG51" s="270">
        <f t="shared" si="33"/>
        <v>2024</v>
      </c>
      <c r="AH51" s="243" t="s">
        <v>116</v>
      </c>
      <c r="AI51" s="314">
        <f>AI50+31</f>
        <v>45536</v>
      </c>
      <c r="AJ51" s="91">
        <f t="shared" si="34"/>
        <v>137043.25366831056</v>
      </c>
      <c r="AK51" s="93">
        <f t="shared" si="35"/>
        <v>120305.81928993824</v>
      </c>
      <c r="AL51" s="94">
        <f t="shared" si="36"/>
        <v>189250.20744671463</v>
      </c>
      <c r="AM51" s="102">
        <f t="shared" si="13"/>
        <v>1.573076086956523</v>
      </c>
      <c r="AN51" s="235">
        <f t="shared" si="5"/>
        <v>0.80701754385964852</v>
      </c>
      <c r="AO51" s="394">
        <f t="shared" si="14"/>
        <v>1589.2428985026554</v>
      </c>
      <c r="AP51" s="395">
        <f t="shared" si="6"/>
        <v>52.974763283421851</v>
      </c>
    </row>
    <row r="52" spans="3:42" x14ac:dyDescent="0.35">
      <c r="AF52" s="230">
        <f t="shared" si="9"/>
        <v>46</v>
      </c>
      <c r="AG52" s="270">
        <f t="shared" si="33"/>
        <v>2024</v>
      </c>
      <c r="AH52" s="243" t="s">
        <v>117</v>
      </c>
      <c r="AI52" s="314">
        <f t="shared" si="37"/>
        <v>45566</v>
      </c>
      <c r="AJ52" s="91">
        <f t="shared" si="34"/>
        <v>138549.95560834586</v>
      </c>
      <c r="AK52" s="93">
        <f t="shared" si="35"/>
        <v>120967.47948601499</v>
      </c>
      <c r="AL52" s="94">
        <f t="shared" si="36"/>
        <v>191330.89107819193</v>
      </c>
      <c r="AM52" s="102">
        <f t="shared" si="13"/>
        <v>1.5816721311475423</v>
      </c>
      <c r="AN52" s="235">
        <f t="shared" si="5"/>
        <v>0.80263157894736781</v>
      </c>
      <c r="AO52" s="394">
        <f t="shared" si="14"/>
        <v>1580.6057088368802</v>
      </c>
      <c r="AP52" s="395">
        <f t="shared" si="6"/>
        <v>52.686856961229331</v>
      </c>
    </row>
    <row r="53" spans="3:42" x14ac:dyDescent="0.35">
      <c r="C53" s="161" t="s">
        <v>76</v>
      </c>
      <c r="D53" s="103"/>
      <c r="E53" s="103"/>
      <c r="F53" s="103"/>
      <c r="G53" s="103"/>
      <c r="H53" s="103"/>
      <c r="I53" s="128" t="s">
        <v>102</v>
      </c>
      <c r="J53" s="103"/>
      <c r="K53" s="103"/>
      <c r="L53" s="103"/>
      <c r="M53" s="103"/>
      <c r="N53" s="103"/>
      <c r="O53" s="105"/>
      <c r="P53" s="106"/>
      <c r="AF53" s="230">
        <f t="shared" si="9"/>
        <v>47</v>
      </c>
      <c r="AG53" s="270">
        <f t="shared" si="33"/>
        <v>2024</v>
      </c>
      <c r="AH53" s="243" t="s">
        <v>118</v>
      </c>
      <c r="AI53" s="314">
        <f>AI52+31</f>
        <v>45597</v>
      </c>
      <c r="AJ53" s="91">
        <f t="shared" si="34"/>
        <v>140056.65754838113</v>
      </c>
      <c r="AK53" s="93">
        <f t="shared" si="35"/>
        <v>121614.76267476409</v>
      </c>
      <c r="AL53" s="94">
        <f t="shared" si="36"/>
        <v>193411.57470966922</v>
      </c>
      <c r="AM53" s="102">
        <f t="shared" si="13"/>
        <v>1.5903626373626387</v>
      </c>
      <c r="AN53" s="235">
        <f t="shared" si="5"/>
        <v>0.79824561403508709</v>
      </c>
      <c r="AO53" s="394">
        <f t="shared" si="14"/>
        <v>1571.9685191711048</v>
      </c>
      <c r="AP53" s="395">
        <f t="shared" si="6"/>
        <v>52.398950639036826</v>
      </c>
    </row>
    <row r="54" spans="3:42" ht="15" thickBot="1" x14ac:dyDescent="0.4">
      <c r="C54" s="162" t="s">
        <v>103</v>
      </c>
      <c r="D54" s="103"/>
      <c r="E54" s="103"/>
      <c r="F54" s="103"/>
      <c r="G54" s="103"/>
      <c r="H54" s="103"/>
      <c r="I54" s="103" t="s">
        <v>101</v>
      </c>
      <c r="J54" s="103"/>
      <c r="K54" s="103"/>
      <c r="L54" s="103"/>
      <c r="M54" s="104"/>
      <c r="N54" s="104"/>
      <c r="O54" s="105"/>
      <c r="P54" s="106"/>
      <c r="AF54" s="236">
        <f t="shared" si="9"/>
        <v>48</v>
      </c>
      <c r="AG54" s="272">
        <f t="shared" si="33"/>
        <v>2024</v>
      </c>
      <c r="AH54" s="246" t="s">
        <v>119</v>
      </c>
      <c r="AI54" s="315">
        <f t="shared" si="37"/>
        <v>45627</v>
      </c>
      <c r="AJ54" s="238">
        <f t="shared" si="34"/>
        <v>141563.3594884164</v>
      </c>
      <c r="AK54" s="239">
        <f t="shared" si="35"/>
        <v>122247.66885618558</v>
      </c>
      <c r="AL54" s="240">
        <f t="shared" si="36"/>
        <v>195492.25834114652</v>
      </c>
      <c r="AM54" s="241">
        <f t="shared" si="13"/>
        <v>1.5991491712707195</v>
      </c>
      <c r="AN54" s="242">
        <f t="shared" si="5"/>
        <v>0.79385964912280638</v>
      </c>
      <c r="AO54" s="396">
        <f t="shared" si="14"/>
        <v>1563.3313295053297</v>
      </c>
      <c r="AP54" s="395">
        <f t="shared" si="6"/>
        <v>52.111044316844314</v>
      </c>
    </row>
    <row r="55" spans="3:42" ht="15" thickTop="1" x14ac:dyDescent="0.35">
      <c r="C55" s="193" t="s">
        <v>6</v>
      </c>
      <c r="D55" s="194" t="s">
        <v>61</v>
      </c>
      <c r="E55" s="194" t="s">
        <v>71</v>
      </c>
      <c r="F55" s="194" t="s">
        <v>62</v>
      </c>
      <c r="G55" s="195" t="s">
        <v>4</v>
      </c>
      <c r="H55" s="103"/>
      <c r="I55" s="164"/>
      <c r="J55" s="165" t="s">
        <v>79</v>
      </c>
      <c r="K55" s="166"/>
      <c r="L55" s="167" t="s">
        <v>71</v>
      </c>
      <c r="M55" s="167" t="s">
        <v>62</v>
      </c>
      <c r="N55" s="168" t="s">
        <v>4</v>
      </c>
      <c r="O55" s="105"/>
      <c r="P55" s="106"/>
      <c r="AF55" s="230">
        <f>AF54+1</f>
        <v>49</v>
      </c>
      <c r="AG55" s="269">
        <f>AG43+1</f>
        <v>2025</v>
      </c>
      <c r="AH55" s="231" t="s">
        <v>108</v>
      </c>
      <c r="AI55" s="312">
        <v>45658</v>
      </c>
      <c r="AJ55" s="232">
        <f>AL43</f>
        <v>172604.73839489627</v>
      </c>
      <c r="AK55" s="93">
        <f>AL55/AM55</f>
        <v>148230.08920840864</v>
      </c>
      <c r="AL55" s="233">
        <f t="shared" ref="AL55" si="38">AJ55/$L$6*$M$6</f>
        <v>238358.92445009493</v>
      </c>
      <c r="AM55" s="244">
        <f t="shared" si="13"/>
        <v>1.6080333333333348</v>
      </c>
      <c r="AN55" s="245">
        <f t="shared" si="5"/>
        <v>0.78947368421052566</v>
      </c>
      <c r="AO55" s="386">
        <f t="shared" si="14"/>
        <v>1554.6941398395543</v>
      </c>
      <c r="AP55" s="397">
        <f t="shared" si="6"/>
        <v>51.823137994651802</v>
      </c>
    </row>
    <row r="56" spans="3:42" ht="15" thickBot="1" x14ac:dyDescent="0.4">
      <c r="C56" s="196" t="s">
        <v>9</v>
      </c>
      <c r="D56" s="115" t="s">
        <v>63</v>
      </c>
      <c r="E56" s="115" t="s">
        <v>72</v>
      </c>
      <c r="F56" s="115"/>
      <c r="G56" s="197"/>
      <c r="H56" s="103"/>
      <c r="I56" s="169"/>
      <c r="J56" s="131" t="s">
        <v>80</v>
      </c>
      <c r="K56" s="130"/>
      <c r="L56" s="129" t="s">
        <v>78</v>
      </c>
      <c r="M56" s="129"/>
      <c r="N56" s="170"/>
      <c r="O56" s="105"/>
      <c r="P56" s="106"/>
      <c r="AF56" s="230">
        <f t="shared" si="9"/>
        <v>50</v>
      </c>
      <c r="AG56" s="269">
        <f>AG55</f>
        <v>2025</v>
      </c>
      <c r="AH56" s="231" t="s">
        <v>109</v>
      </c>
      <c r="AI56" s="312">
        <f>AI55+31</f>
        <v>45689</v>
      </c>
      <c r="AJ56" s="91">
        <f>AL56/$AL$6*$AJ$6</f>
        <v>174111.44033493154</v>
      </c>
      <c r="AK56" s="93">
        <f>AL56/AM56</f>
        <v>148693.33086862971</v>
      </c>
      <c r="AL56" s="94">
        <f>AL55+($AL$19-$AL$7)/12</f>
        <v>240439.60808157222</v>
      </c>
      <c r="AM56" s="102">
        <f t="shared" si="13"/>
        <v>1.6170167597765377</v>
      </c>
      <c r="AN56" s="235">
        <f t="shared" si="5"/>
        <v>0.78508771929824495</v>
      </c>
      <c r="AO56" s="388">
        <f t="shared" si="14"/>
        <v>1546.0569501737789</v>
      </c>
      <c r="AP56" s="389">
        <f t="shared" si="6"/>
        <v>51.535231672459297</v>
      </c>
    </row>
    <row r="57" spans="3:42" ht="15" thickBot="1" x14ac:dyDescent="0.4">
      <c r="C57" s="198">
        <v>1</v>
      </c>
      <c r="D57" s="107" t="s">
        <v>64</v>
      </c>
      <c r="E57" s="159">
        <f>H3</f>
        <v>2022</v>
      </c>
      <c r="F57" s="160">
        <f>E57+G57</f>
        <v>2032</v>
      </c>
      <c r="G57" s="199">
        <v>10</v>
      </c>
      <c r="H57" s="103"/>
      <c r="I57" s="171" t="s">
        <v>64</v>
      </c>
      <c r="J57" s="132"/>
      <c r="K57" s="133"/>
      <c r="L57" s="159">
        <f>E57</f>
        <v>2022</v>
      </c>
      <c r="M57" s="160">
        <f>L57+N57</f>
        <v>2032</v>
      </c>
      <c r="N57" s="172">
        <f>G57</f>
        <v>10</v>
      </c>
      <c r="O57" s="105"/>
      <c r="P57" s="106"/>
      <c r="AF57" s="230">
        <f t="shared" si="9"/>
        <v>51</v>
      </c>
      <c r="AG57" s="270">
        <f t="shared" ref="AG57:AG66" si="39">AG56</f>
        <v>2025</v>
      </c>
      <c r="AH57" s="231" t="s">
        <v>110</v>
      </c>
      <c r="AI57" s="312">
        <f>AI56+28</f>
        <v>45717</v>
      </c>
      <c r="AJ57" s="91">
        <f t="shared" ref="AJ57:AJ66" si="40">AL57/$AL$6*$AJ$6</f>
        <v>175618.14227496684</v>
      </c>
      <c r="AK57" s="93">
        <f t="shared" ref="AK57:AK66" si="41">AL57/AM57</f>
        <v>149142.1955215231</v>
      </c>
      <c r="AL57" s="94">
        <f t="shared" ref="AL57:AL66" si="42">AL56+($AL$19-$AL$7)/12</f>
        <v>242520.29171304952</v>
      </c>
      <c r="AM57" s="102">
        <f t="shared" si="13"/>
        <v>1.6261011235955072</v>
      </c>
      <c r="AN57" s="235">
        <f t="shared" si="5"/>
        <v>0.78070175438596423</v>
      </c>
      <c r="AO57" s="388">
        <f t="shared" si="14"/>
        <v>1537.4197605080035</v>
      </c>
      <c r="AP57" s="389">
        <f t="shared" si="6"/>
        <v>51.247325350266777</v>
      </c>
    </row>
    <row r="58" spans="3:42" x14ac:dyDescent="0.35">
      <c r="C58" s="200">
        <f>C57+1</f>
        <v>2</v>
      </c>
      <c r="D58" s="108" t="s">
        <v>66</v>
      </c>
      <c r="E58" s="404">
        <f>E17</f>
        <v>42715</v>
      </c>
      <c r="F58" s="143" t="s">
        <v>89</v>
      </c>
      <c r="G58" s="177" t="s">
        <v>98</v>
      </c>
      <c r="H58" s="103"/>
      <c r="I58" s="173" t="s">
        <v>66</v>
      </c>
      <c r="J58" s="134"/>
      <c r="K58" s="135"/>
      <c r="L58" s="109">
        <f>E58</f>
        <v>42715</v>
      </c>
      <c r="M58" s="143" t="s">
        <v>89</v>
      </c>
      <c r="N58" s="174">
        <f>L58</f>
        <v>42715</v>
      </c>
      <c r="O58" s="105"/>
      <c r="P58" s="106"/>
      <c r="AF58" s="230">
        <f t="shared" si="9"/>
        <v>52</v>
      </c>
      <c r="AG58" s="270">
        <f t="shared" si="39"/>
        <v>2025</v>
      </c>
      <c r="AH58" s="231" t="s">
        <v>111</v>
      </c>
      <c r="AI58" s="312">
        <f t="shared" ref="AI58:AI65" si="43">AI57+31</f>
        <v>45748</v>
      </c>
      <c r="AJ58" s="91">
        <f t="shared" si="40"/>
        <v>177124.84421500214</v>
      </c>
      <c r="AK58" s="93">
        <f t="shared" si="41"/>
        <v>149576.68316708886</v>
      </c>
      <c r="AL58" s="94">
        <f t="shared" si="42"/>
        <v>244600.97534452681</v>
      </c>
      <c r="AM58" s="102">
        <f t="shared" si="13"/>
        <v>1.6352881355932218</v>
      </c>
      <c r="AN58" s="235">
        <f t="shared" si="5"/>
        <v>0.77631578947368352</v>
      </c>
      <c r="AO58" s="388">
        <f t="shared" si="14"/>
        <v>1528.7825708422283</v>
      </c>
      <c r="AP58" s="389">
        <f t="shared" si="6"/>
        <v>50.959419028074272</v>
      </c>
    </row>
    <row r="59" spans="3:42" x14ac:dyDescent="0.35">
      <c r="C59" s="200">
        <f>C58+1</f>
        <v>3</v>
      </c>
      <c r="D59" s="108" t="s">
        <v>70</v>
      </c>
      <c r="E59" s="109">
        <f>E31</f>
        <v>113002.64550264552</v>
      </c>
      <c r="F59" s="143" t="s">
        <v>90</v>
      </c>
      <c r="G59" s="174">
        <f>E59</f>
        <v>113002.64550264552</v>
      </c>
      <c r="H59" s="103"/>
      <c r="I59" s="175" t="s">
        <v>81</v>
      </c>
      <c r="J59" s="153"/>
      <c r="K59" s="154"/>
      <c r="L59" s="148">
        <v>0</v>
      </c>
      <c r="M59" s="176" t="s">
        <v>90</v>
      </c>
      <c r="N59" s="177" t="s">
        <v>98</v>
      </c>
      <c r="O59" s="105"/>
      <c r="P59" s="106"/>
      <c r="AF59" s="230">
        <f t="shared" si="9"/>
        <v>53</v>
      </c>
      <c r="AG59" s="270">
        <f t="shared" si="39"/>
        <v>2025</v>
      </c>
      <c r="AH59" s="231" t="s">
        <v>112</v>
      </c>
      <c r="AI59" s="312">
        <f>AI58+30</f>
        <v>45778</v>
      </c>
      <c r="AJ59" s="91">
        <f t="shared" si="40"/>
        <v>178631.54615503742</v>
      </c>
      <c r="AK59" s="93">
        <f t="shared" si="41"/>
        <v>149996.793805327</v>
      </c>
      <c r="AL59" s="94">
        <f t="shared" si="42"/>
        <v>246681.65897600411</v>
      </c>
      <c r="AM59" s="102">
        <f t="shared" si="13"/>
        <v>1.6445795454545471</v>
      </c>
      <c r="AN59" s="235">
        <f t="shared" si="5"/>
        <v>0.7719298245614028</v>
      </c>
      <c r="AO59" s="388">
        <f t="shared" si="14"/>
        <v>1520.1453811764527</v>
      </c>
      <c r="AP59" s="389">
        <f t="shared" si="6"/>
        <v>50.67151270588176</v>
      </c>
    </row>
    <row r="60" spans="3:42" x14ac:dyDescent="0.35">
      <c r="C60" s="200">
        <f t="shared" ref="C60:C67" si="44">C59+1</f>
        <v>4</v>
      </c>
      <c r="D60" s="151" t="s">
        <v>21</v>
      </c>
      <c r="E60" s="148">
        <f>E32</f>
        <v>74724.495585381563</v>
      </c>
      <c r="F60" s="143" t="s">
        <v>97</v>
      </c>
      <c r="G60" s="201" t="s">
        <v>91</v>
      </c>
      <c r="H60" s="103"/>
      <c r="I60" s="175" t="s">
        <v>93</v>
      </c>
      <c r="J60" s="153"/>
      <c r="K60" s="154"/>
      <c r="L60" s="157">
        <f>L58*0</f>
        <v>0</v>
      </c>
      <c r="M60" s="143" t="s">
        <v>99</v>
      </c>
      <c r="N60" s="178" t="s">
        <v>92</v>
      </c>
      <c r="O60" s="105"/>
      <c r="P60" s="106"/>
      <c r="AF60" s="230">
        <f t="shared" si="9"/>
        <v>54</v>
      </c>
      <c r="AG60" s="273">
        <f t="shared" si="39"/>
        <v>2025</v>
      </c>
      <c r="AH60" s="231" t="s">
        <v>113</v>
      </c>
      <c r="AI60" s="312">
        <f t="shared" si="43"/>
        <v>45809</v>
      </c>
      <c r="AJ60" s="91">
        <f t="shared" si="40"/>
        <v>180138.24809507269</v>
      </c>
      <c r="AK60" s="93">
        <f t="shared" si="41"/>
        <v>150402.52743623749</v>
      </c>
      <c r="AL60" s="94">
        <f t="shared" si="42"/>
        <v>248762.34260748141</v>
      </c>
      <c r="AM60" s="102">
        <f t="shared" si="13"/>
        <v>1.6539771428571446</v>
      </c>
      <c r="AN60" s="235">
        <f t="shared" si="5"/>
        <v>0.76754385964912208</v>
      </c>
      <c r="AO60" s="388">
        <f t="shared" si="14"/>
        <v>1511.5081915106775</v>
      </c>
      <c r="AP60" s="389">
        <f t="shared" si="6"/>
        <v>50.383606383689248</v>
      </c>
    </row>
    <row r="61" spans="3:42" x14ac:dyDescent="0.35">
      <c r="C61" s="200">
        <f t="shared" si="44"/>
        <v>5</v>
      </c>
      <c r="D61" s="149" t="s">
        <v>100</v>
      </c>
      <c r="E61" s="150">
        <f>E19*(-1)</f>
        <v>-4746.1111111111113</v>
      </c>
      <c r="F61" s="146">
        <f>H19</f>
        <v>0.1</v>
      </c>
      <c r="G61" s="202">
        <f>E61</f>
        <v>-4746.1111111111113</v>
      </c>
      <c r="H61" s="103"/>
      <c r="I61" s="179" t="s">
        <v>94</v>
      </c>
      <c r="J61" s="152"/>
      <c r="K61" s="152"/>
      <c r="L61" s="155" t="s">
        <v>95</v>
      </c>
      <c r="M61" s="156" t="s">
        <v>95</v>
      </c>
      <c r="N61" s="180" t="s">
        <v>96</v>
      </c>
      <c r="O61" s="105"/>
      <c r="P61" s="106"/>
      <c r="AF61" s="230">
        <f t="shared" si="9"/>
        <v>55</v>
      </c>
      <c r="AG61" s="270">
        <f t="shared" si="39"/>
        <v>2025</v>
      </c>
      <c r="AH61" s="231" t="s">
        <v>114</v>
      </c>
      <c r="AI61" s="312">
        <f>AI60+30</f>
        <v>45839</v>
      </c>
      <c r="AJ61" s="91">
        <f t="shared" si="40"/>
        <v>181644.95003510796</v>
      </c>
      <c r="AK61" s="93">
        <f t="shared" si="41"/>
        <v>150793.88405982038</v>
      </c>
      <c r="AL61" s="94">
        <f t="shared" si="42"/>
        <v>250843.0262389587</v>
      </c>
      <c r="AM61" s="102">
        <f t="shared" si="13"/>
        <v>1.6634827586206913</v>
      </c>
      <c r="AN61" s="235">
        <f t="shared" si="5"/>
        <v>0.76315789473684137</v>
      </c>
      <c r="AO61" s="388">
        <f t="shared" si="14"/>
        <v>1502.8710018449021</v>
      </c>
      <c r="AP61" s="389">
        <f t="shared" si="6"/>
        <v>50.095700061496736</v>
      </c>
    </row>
    <row r="62" spans="3:42" x14ac:dyDescent="0.35">
      <c r="C62" s="200">
        <f t="shared" si="44"/>
        <v>6</v>
      </c>
      <c r="D62" s="147" t="s">
        <v>94</v>
      </c>
      <c r="E62" s="155" t="s">
        <v>95</v>
      </c>
      <c r="F62" s="156" t="s">
        <v>95</v>
      </c>
      <c r="G62" s="180" t="s">
        <v>96</v>
      </c>
      <c r="H62" s="103"/>
      <c r="I62" s="173" t="s">
        <v>84</v>
      </c>
      <c r="J62" s="134"/>
      <c r="K62" s="135"/>
      <c r="L62" s="158">
        <f>L58*M62</f>
        <v>8543</v>
      </c>
      <c r="M62" s="141">
        <v>0.2</v>
      </c>
      <c r="N62" s="174">
        <f>L58*M62</f>
        <v>8543</v>
      </c>
      <c r="O62" s="105"/>
      <c r="P62" s="106"/>
      <c r="AF62" s="230">
        <f t="shared" si="9"/>
        <v>56</v>
      </c>
      <c r="AG62" s="270">
        <f t="shared" si="39"/>
        <v>2025</v>
      </c>
      <c r="AH62" s="231" t="s">
        <v>115</v>
      </c>
      <c r="AI62" s="312">
        <f t="shared" si="43"/>
        <v>45870</v>
      </c>
      <c r="AJ62" s="91">
        <f t="shared" si="40"/>
        <v>183151.65197514324</v>
      </c>
      <c r="AK62" s="93">
        <f t="shared" si="41"/>
        <v>151170.86367607562</v>
      </c>
      <c r="AL62" s="94">
        <f t="shared" si="42"/>
        <v>252923.709870436</v>
      </c>
      <c r="AM62" s="102">
        <f t="shared" si="13"/>
        <v>1.6730982658959554</v>
      </c>
      <c r="AN62" s="235">
        <f t="shared" si="5"/>
        <v>0.75877192982456065</v>
      </c>
      <c r="AO62" s="388">
        <f t="shared" si="14"/>
        <v>1494.233812179127</v>
      </c>
      <c r="AP62" s="389">
        <f t="shared" si="6"/>
        <v>49.807793739304223</v>
      </c>
    </row>
    <row r="63" spans="3:42" x14ac:dyDescent="0.35">
      <c r="C63" s="200">
        <f t="shared" si="44"/>
        <v>7</v>
      </c>
      <c r="D63" s="108" t="s">
        <v>65</v>
      </c>
      <c r="E63" s="110">
        <f>E58*F63</f>
        <v>8115.85</v>
      </c>
      <c r="F63" s="145">
        <v>0.19</v>
      </c>
      <c r="G63" s="174">
        <f>E58*F63</f>
        <v>8115.85</v>
      </c>
      <c r="H63" s="103"/>
      <c r="I63" s="181" t="s">
        <v>77</v>
      </c>
      <c r="J63" s="134"/>
      <c r="K63" s="135"/>
      <c r="L63" s="158">
        <f>M63*L58</f>
        <v>42715</v>
      </c>
      <c r="M63" s="141">
        <v>1</v>
      </c>
      <c r="N63" s="174">
        <f>L63</f>
        <v>42715</v>
      </c>
      <c r="O63" s="163" t="s">
        <v>104</v>
      </c>
      <c r="P63" s="106"/>
      <c r="AF63" s="230">
        <f t="shared" si="9"/>
        <v>57</v>
      </c>
      <c r="AG63" s="270">
        <f t="shared" si="39"/>
        <v>2025</v>
      </c>
      <c r="AH63" s="231" t="s">
        <v>116</v>
      </c>
      <c r="AI63" s="312">
        <f t="shared" si="43"/>
        <v>45901</v>
      </c>
      <c r="AJ63" s="91">
        <f t="shared" si="40"/>
        <v>184658.35391517854</v>
      </c>
      <c r="AK63" s="93">
        <f t="shared" si="41"/>
        <v>151533.46628500323</v>
      </c>
      <c r="AL63" s="94">
        <f t="shared" si="42"/>
        <v>255004.39350191329</v>
      </c>
      <c r="AM63" s="102">
        <f t="shared" si="13"/>
        <v>1.6828255813953505</v>
      </c>
      <c r="AN63" s="235">
        <f t="shared" si="5"/>
        <v>0.75438596491227994</v>
      </c>
      <c r="AO63" s="388">
        <f t="shared" si="14"/>
        <v>1485.5966225133516</v>
      </c>
      <c r="AP63" s="389">
        <f t="shared" si="6"/>
        <v>49.519887417111718</v>
      </c>
    </row>
    <row r="64" spans="3:42" x14ac:dyDescent="0.35">
      <c r="C64" s="200">
        <f t="shared" si="44"/>
        <v>8</v>
      </c>
      <c r="D64" s="108" t="s">
        <v>85</v>
      </c>
      <c r="E64" s="110">
        <f>F64*E58</f>
        <v>2503.0990000000002</v>
      </c>
      <c r="F64" s="141">
        <v>5.8599999999999999E-2</v>
      </c>
      <c r="G64" s="174">
        <f>G57*E64</f>
        <v>25030.99</v>
      </c>
      <c r="H64" s="103"/>
      <c r="I64" s="181" t="s">
        <v>83</v>
      </c>
      <c r="J64" s="134"/>
      <c r="K64" s="135"/>
      <c r="L64" s="158">
        <f>M64*L58</f>
        <v>21357.5</v>
      </c>
      <c r="M64" s="140">
        <v>0.5</v>
      </c>
      <c r="N64" s="182">
        <f>L64</f>
        <v>21357.5</v>
      </c>
      <c r="O64" s="105"/>
      <c r="P64" s="106"/>
      <c r="AF64" s="230">
        <f t="shared" si="9"/>
        <v>58</v>
      </c>
      <c r="AG64" s="270">
        <f t="shared" si="39"/>
        <v>2025</v>
      </c>
      <c r="AH64" s="231" t="s">
        <v>117</v>
      </c>
      <c r="AI64" s="312">
        <f>AI63+30</f>
        <v>45931</v>
      </c>
      <c r="AJ64" s="91">
        <f t="shared" si="40"/>
        <v>186165.05585521384</v>
      </c>
      <c r="AK64" s="93">
        <f t="shared" si="41"/>
        <v>151881.69188660316</v>
      </c>
      <c r="AL64" s="94">
        <f t="shared" si="42"/>
        <v>257085.07713339059</v>
      </c>
      <c r="AM64" s="102">
        <f t="shared" si="13"/>
        <v>1.6926666666666685</v>
      </c>
      <c r="AN64" s="235">
        <f t="shared" si="5"/>
        <v>0.74999999999999922</v>
      </c>
      <c r="AO64" s="388">
        <f t="shared" si="14"/>
        <v>1476.9594328475762</v>
      </c>
      <c r="AP64" s="389">
        <f t="shared" si="6"/>
        <v>49.231981094919199</v>
      </c>
    </row>
    <row r="65" spans="3:42" x14ac:dyDescent="0.35">
      <c r="C65" s="200">
        <f t="shared" si="44"/>
        <v>9</v>
      </c>
      <c r="D65" s="108" t="s">
        <v>67</v>
      </c>
      <c r="E65" s="110">
        <f>F65*E58</f>
        <v>299.005</v>
      </c>
      <c r="F65" s="141">
        <v>7.0000000000000001E-3</v>
      </c>
      <c r="G65" s="174">
        <f>G57*E65</f>
        <v>2990.05</v>
      </c>
      <c r="H65" s="403">
        <f>H66+H67</f>
        <v>12802.643414733415</v>
      </c>
      <c r="I65" s="181" t="s">
        <v>105</v>
      </c>
      <c r="J65" s="134"/>
      <c r="K65" s="135"/>
      <c r="L65" s="109">
        <f>L58*M65</f>
        <v>2392.04</v>
      </c>
      <c r="M65" s="141">
        <v>5.6000000000000001E-2</v>
      </c>
      <c r="N65" s="174">
        <f>L65*N57</f>
        <v>23920.400000000001</v>
      </c>
      <c r="O65" s="105"/>
      <c r="P65" s="106"/>
      <c r="AF65" s="230">
        <f t="shared" si="9"/>
        <v>59</v>
      </c>
      <c r="AG65" s="270">
        <f t="shared" si="39"/>
        <v>2025</v>
      </c>
      <c r="AH65" s="231" t="s">
        <v>118</v>
      </c>
      <c r="AI65" s="312">
        <f t="shared" si="43"/>
        <v>45962</v>
      </c>
      <c r="AJ65" s="91">
        <f t="shared" si="40"/>
        <v>187671.75779524911</v>
      </c>
      <c r="AK65" s="93">
        <f t="shared" si="41"/>
        <v>152215.5404808755</v>
      </c>
      <c r="AL65" s="94">
        <f t="shared" si="42"/>
        <v>259165.76076486788</v>
      </c>
      <c r="AM65" s="102">
        <f t="shared" si="13"/>
        <v>1.7026235294117666</v>
      </c>
      <c r="AN65" s="235">
        <f t="shared" si="5"/>
        <v>0.74561403508771851</v>
      </c>
      <c r="AO65" s="388">
        <f t="shared" si="14"/>
        <v>1468.3222431818008</v>
      </c>
      <c r="AP65" s="389">
        <f t="shared" si="6"/>
        <v>48.944074772726694</v>
      </c>
    </row>
    <row r="66" spans="3:42" ht="15" thickBot="1" x14ac:dyDescent="0.4">
      <c r="C66" s="200">
        <f t="shared" si="44"/>
        <v>10</v>
      </c>
      <c r="D66" s="108" t="s">
        <v>68</v>
      </c>
      <c r="E66" s="110">
        <f>F66*E58</f>
        <v>2003.3335</v>
      </c>
      <c r="F66" s="141">
        <v>4.6899999999999997E-2</v>
      </c>
      <c r="G66" s="174">
        <f>E66*G57</f>
        <v>20033.334999999999</v>
      </c>
      <c r="H66" s="401">
        <f>H68*3%</f>
        <v>7681.5860488400494</v>
      </c>
      <c r="I66" s="181" t="s">
        <v>86</v>
      </c>
      <c r="J66" s="134"/>
      <c r="K66" s="135"/>
      <c r="L66" s="109">
        <f>L58*M66</f>
        <v>299.005</v>
      </c>
      <c r="M66" s="141">
        <v>7.0000000000000001E-3</v>
      </c>
      <c r="N66" s="174">
        <f>L66*N57</f>
        <v>2990.05</v>
      </c>
      <c r="O66" s="105"/>
      <c r="AF66" s="236">
        <f t="shared" si="9"/>
        <v>60</v>
      </c>
      <c r="AG66" s="272">
        <f t="shared" si="39"/>
        <v>2025</v>
      </c>
      <c r="AH66" s="237" t="s">
        <v>119</v>
      </c>
      <c r="AI66" s="313">
        <f>AI65+30</f>
        <v>45992</v>
      </c>
      <c r="AJ66" s="238">
        <f t="shared" si="40"/>
        <v>189178.45973528438</v>
      </c>
      <c r="AK66" s="239">
        <f t="shared" si="41"/>
        <v>152535.01206782018</v>
      </c>
      <c r="AL66" s="240">
        <f t="shared" si="42"/>
        <v>261246.44439634518</v>
      </c>
      <c r="AM66" s="241">
        <f t="shared" si="13"/>
        <v>1.712698224852073</v>
      </c>
      <c r="AN66" s="242">
        <f t="shared" si="5"/>
        <v>0.74122807017543779</v>
      </c>
      <c r="AO66" s="390">
        <f t="shared" si="14"/>
        <v>1459.6850535160254</v>
      </c>
      <c r="AP66" s="389">
        <f t="shared" si="6"/>
        <v>48.656168450534182</v>
      </c>
    </row>
    <row r="67" spans="3:42" ht="15" thickBot="1" x14ac:dyDescent="0.4">
      <c r="C67" s="200">
        <f t="shared" si="44"/>
        <v>11</v>
      </c>
      <c r="D67" s="108" t="s">
        <v>69</v>
      </c>
      <c r="E67" s="111">
        <f>F67*E58</f>
        <v>200.76050000000001</v>
      </c>
      <c r="F67" s="142">
        <v>4.7000000000000002E-3</v>
      </c>
      <c r="G67" s="184">
        <f>G57*E67</f>
        <v>2007.605</v>
      </c>
      <c r="H67" s="401">
        <f>H68*2%</f>
        <v>5121.0573658933663</v>
      </c>
      <c r="I67" s="183" t="s">
        <v>87</v>
      </c>
      <c r="J67" s="136"/>
      <c r="K67" s="137"/>
      <c r="L67" s="112">
        <f>L58*M67</f>
        <v>200.76050000000001</v>
      </c>
      <c r="M67" s="142">
        <v>4.7000000000000002E-3</v>
      </c>
      <c r="N67" s="184">
        <f>L67*N57</f>
        <v>2007.605</v>
      </c>
      <c r="O67" s="105"/>
      <c r="AF67" s="230">
        <f>AF66+1</f>
        <v>61</v>
      </c>
      <c r="AG67" s="269">
        <f>AG55+1</f>
        <v>2026</v>
      </c>
      <c r="AH67" s="243" t="s">
        <v>108</v>
      </c>
      <c r="AI67" s="314">
        <f>AI66+31</f>
        <v>46023</v>
      </c>
      <c r="AJ67" s="232">
        <f>AL55</f>
        <v>238358.92445009493</v>
      </c>
      <c r="AK67" s="93">
        <f>AL67/AM67</f>
        <v>191052.11497972667</v>
      </c>
      <c r="AL67" s="233">
        <f t="shared" ref="AL67" si="45">AJ67/$L$6*$M$6</f>
        <v>329162.32424060733</v>
      </c>
      <c r="AM67" s="244">
        <f t="shared" si="13"/>
        <v>1.7228928571428592</v>
      </c>
      <c r="AN67" s="245">
        <f t="shared" si="5"/>
        <v>0.73684210526315708</v>
      </c>
      <c r="AO67" s="392">
        <f t="shared" si="14"/>
        <v>1451.04786385025</v>
      </c>
      <c r="AP67" s="398">
        <f t="shared" si="6"/>
        <v>48.368262128341669</v>
      </c>
    </row>
    <row r="68" spans="3:42" ht="15" thickBot="1" x14ac:dyDescent="0.4">
      <c r="C68" s="203"/>
      <c r="D68" s="113" t="s">
        <v>73</v>
      </c>
      <c r="E68" s="114"/>
      <c r="F68" s="114"/>
      <c r="G68" s="186">
        <f>SUM(G58:G67)</f>
        <v>166434.36439153441</v>
      </c>
      <c r="H68" s="402">
        <f>G68/0.65</f>
        <v>256052.86829466833</v>
      </c>
      <c r="I68" s="185" t="s">
        <v>73</v>
      </c>
      <c r="J68" s="113"/>
      <c r="K68" s="113"/>
      <c r="L68" s="138"/>
      <c r="M68" s="114"/>
      <c r="N68" s="186">
        <f>SUM(N58:N67)</f>
        <v>144248.55499999999</v>
      </c>
      <c r="O68" s="105"/>
      <c r="AF68" s="230">
        <f t="shared" si="9"/>
        <v>62</v>
      </c>
      <c r="AG68" s="269">
        <f>AG67</f>
        <v>2026</v>
      </c>
      <c r="AH68" s="243" t="s">
        <v>109</v>
      </c>
      <c r="AI68" s="314">
        <f>AI67+31</f>
        <v>46054</v>
      </c>
      <c r="AJ68" s="91">
        <f>AL68/$AL$6*$AJ$6</f>
        <v>239865.62639013017</v>
      </c>
      <c r="AK68" s="93">
        <f>AL68/AM68</f>
        <v>191115.38012146676</v>
      </c>
      <c r="AL68" s="94">
        <f>AL67+($AL$19-$AL$7)/12</f>
        <v>331243.00787208462</v>
      </c>
      <c r="AM68" s="102">
        <f t="shared" si="13"/>
        <v>1.7332095808383254</v>
      </c>
      <c r="AN68" s="235">
        <f t="shared" si="5"/>
        <v>0.73245614035087636</v>
      </c>
      <c r="AO68" s="394">
        <f t="shared" si="14"/>
        <v>1442.4106741844748</v>
      </c>
      <c r="AP68" s="395">
        <f t="shared" si="6"/>
        <v>48.080355806149157</v>
      </c>
    </row>
    <row r="69" spans="3:42" ht="15" thickBot="1" x14ac:dyDescent="0.4">
      <c r="C69" s="204"/>
      <c r="D69" s="116" t="s">
        <v>75</v>
      </c>
      <c r="E69" s="117"/>
      <c r="F69" s="118"/>
      <c r="G69" s="405">
        <f>E60*VLOOKUP($F$57,K:O,5,0)</f>
        <v>225299.02447089922</v>
      </c>
      <c r="H69" s="51">
        <f>H68*65%</f>
        <v>166434.36439153441</v>
      </c>
      <c r="I69" s="187" t="s">
        <v>82</v>
      </c>
      <c r="J69" s="139"/>
      <c r="K69" s="139"/>
      <c r="L69" s="117"/>
      <c r="M69" s="118"/>
      <c r="N69" s="188">
        <v>0</v>
      </c>
      <c r="AF69" s="230">
        <f t="shared" si="9"/>
        <v>63</v>
      </c>
      <c r="AG69" s="270">
        <f t="shared" ref="AG69:AG78" si="46">AG68</f>
        <v>2026</v>
      </c>
      <c r="AH69" s="243" t="s">
        <v>110</v>
      </c>
      <c r="AI69" s="314">
        <f>AI68+28</f>
        <v>46082</v>
      </c>
      <c r="AJ69" s="91">
        <f t="shared" ref="AJ69:AJ78" si="47">AL69/$AL$6*$AJ$6</f>
        <v>241372.32833016547</v>
      </c>
      <c r="AK69" s="93">
        <f t="shared" ref="AK69:AK78" si="48">AL69/AM69</f>
        <v>191164.2682558792</v>
      </c>
      <c r="AL69" s="94">
        <f t="shared" ref="AL69:AL78" si="49">AL68+($AL$19-$AL$7)/12</f>
        <v>333323.69150356192</v>
      </c>
      <c r="AM69" s="102">
        <f t="shared" si="13"/>
        <v>1.7436506024096408</v>
      </c>
      <c r="AN69" s="235">
        <f t="shared" si="5"/>
        <v>0.72807017543859565</v>
      </c>
      <c r="AO69" s="394">
        <f t="shared" si="14"/>
        <v>1433.7734845186994</v>
      </c>
      <c r="AP69" s="395">
        <f t="shared" si="6"/>
        <v>47.792449483956645</v>
      </c>
    </row>
    <row r="70" spans="3:42" ht="15" thickBot="1" x14ac:dyDescent="0.4">
      <c r="C70" s="205"/>
      <c r="D70" s="406" t="s">
        <v>74</v>
      </c>
      <c r="E70" s="407"/>
      <c r="F70" s="408"/>
      <c r="G70" s="409">
        <f>G68-G69</f>
        <v>-58864.66007936481</v>
      </c>
      <c r="I70" s="189" t="s">
        <v>106</v>
      </c>
      <c r="J70" s="190"/>
      <c r="K70" s="190"/>
      <c r="L70" s="191"/>
      <c r="M70" s="192"/>
      <c r="N70" s="275">
        <f>N68-N69</f>
        <v>144248.55499999999</v>
      </c>
      <c r="AF70" s="230">
        <f t="shared" si="9"/>
        <v>64</v>
      </c>
      <c r="AG70" s="270">
        <f t="shared" si="46"/>
        <v>2026</v>
      </c>
      <c r="AH70" s="243" t="s">
        <v>111</v>
      </c>
      <c r="AI70" s="314">
        <f>AI69+31</f>
        <v>46113</v>
      </c>
      <c r="AJ70" s="91">
        <f t="shared" si="47"/>
        <v>242879.03027020072</v>
      </c>
      <c r="AK70" s="93">
        <f t="shared" si="48"/>
        <v>191198.77938296401</v>
      </c>
      <c r="AL70" s="94">
        <f t="shared" si="49"/>
        <v>335404.37513503921</v>
      </c>
      <c r="AM70" s="102">
        <f t="shared" si="13"/>
        <v>1.7542181818181839</v>
      </c>
      <c r="AN70" s="235">
        <f t="shared" si="5"/>
        <v>0.72368421052631493</v>
      </c>
      <c r="AO70" s="394">
        <f t="shared" si="14"/>
        <v>1425.1362948529243</v>
      </c>
      <c r="AP70" s="395">
        <f t="shared" si="6"/>
        <v>47.50454316176414</v>
      </c>
    </row>
    <row r="71" spans="3:42" ht="15.5" thickTop="1" thickBot="1" x14ac:dyDescent="0.4">
      <c r="D71" s="411" t="s">
        <v>162</v>
      </c>
      <c r="E71" s="412"/>
      <c r="F71" s="412"/>
      <c r="G71" s="413">
        <f>G68/0.65</f>
        <v>256052.86829466833</v>
      </c>
      <c r="H71" s="410">
        <f>H68-H65</f>
        <v>243250.22487993492</v>
      </c>
      <c r="AF71" s="230">
        <f t="shared" si="9"/>
        <v>65</v>
      </c>
      <c r="AG71" s="270">
        <f t="shared" si="46"/>
        <v>2026</v>
      </c>
      <c r="AH71" s="243" t="s">
        <v>112</v>
      </c>
      <c r="AI71" s="314">
        <f t="shared" ref="AI71:AI78" si="50">AI70+30</f>
        <v>46143</v>
      </c>
      <c r="AJ71" s="91">
        <f t="shared" si="47"/>
        <v>244385.73221023602</v>
      </c>
      <c r="AK71" s="93">
        <f t="shared" si="48"/>
        <v>191218.91350272117</v>
      </c>
      <c r="AL71" s="94">
        <f t="shared" si="49"/>
        <v>337485.05876651651</v>
      </c>
      <c r="AM71" s="102">
        <f t="shared" si="13"/>
        <v>1.7649146341463438</v>
      </c>
      <c r="AN71" s="235">
        <f t="shared" si="5"/>
        <v>0.71929824561403422</v>
      </c>
      <c r="AO71" s="394">
        <f t="shared" si="14"/>
        <v>1416.4991051871489</v>
      </c>
      <c r="AP71" s="395">
        <f t="shared" si="6"/>
        <v>47.21663683957162</v>
      </c>
    </row>
    <row r="72" spans="3:42" ht="15" thickBot="1" x14ac:dyDescent="0.4">
      <c r="D72" s="414" t="s">
        <v>163</v>
      </c>
      <c r="E72" s="415"/>
      <c r="F72" s="415"/>
      <c r="G72" s="416">
        <f>G71-G71</f>
        <v>0</v>
      </c>
      <c r="I72" s="209" t="s">
        <v>88</v>
      </c>
      <c r="J72" s="210"/>
      <c r="K72" s="211"/>
      <c r="L72" s="212"/>
      <c r="M72" s="208">
        <f>N70/G70</f>
        <v>-2.4505119847038204</v>
      </c>
      <c r="N72" s="144">
        <f>N70-G70</f>
        <v>203113.2150793648</v>
      </c>
      <c r="AF72" s="230">
        <f t="shared" si="9"/>
        <v>66</v>
      </c>
      <c r="AG72" s="273">
        <f t="shared" si="46"/>
        <v>2026</v>
      </c>
      <c r="AH72" s="243" t="s">
        <v>113</v>
      </c>
      <c r="AI72" s="314">
        <f>AI71+31</f>
        <v>46174</v>
      </c>
      <c r="AJ72" s="91">
        <f t="shared" si="47"/>
        <v>245892.43415027132</v>
      </c>
      <c r="AK72" s="93">
        <f t="shared" si="48"/>
        <v>191224.67061515074</v>
      </c>
      <c r="AL72" s="94">
        <f t="shared" si="49"/>
        <v>339565.7423979938</v>
      </c>
      <c r="AM72" s="102">
        <f t="shared" si="13"/>
        <v>1.7757423312883458</v>
      </c>
      <c r="AN72" s="235">
        <f t="shared" ref="AN72:AN135" si="51">AN71-($P$7-$P$8)/12</f>
        <v>0.7149122807017535</v>
      </c>
      <c r="AO72" s="394">
        <f t="shared" si="14"/>
        <v>1407.8619155213735</v>
      </c>
      <c r="AP72" s="395">
        <f t="shared" ref="AP72:AP135" si="52">$AP$6/AM72</f>
        <v>46.928730517379115</v>
      </c>
    </row>
    <row r="73" spans="3:42" ht="15" thickBot="1" x14ac:dyDescent="0.4">
      <c r="D73" s="206" t="s">
        <v>164</v>
      </c>
      <c r="E73" s="207"/>
      <c r="F73" s="192"/>
      <c r="G73" s="275">
        <f>G72-G69</f>
        <v>-225299.02447089922</v>
      </c>
      <c r="AF73" s="230">
        <f t="shared" ref="AF73:AF78" si="53">AF72+1</f>
        <v>67</v>
      </c>
      <c r="AG73" s="270">
        <f t="shared" si="46"/>
        <v>2026</v>
      </c>
      <c r="AH73" s="243" t="s">
        <v>114</v>
      </c>
      <c r="AI73" s="314">
        <f t="shared" si="50"/>
        <v>46204</v>
      </c>
      <c r="AJ73" s="91">
        <f t="shared" si="47"/>
        <v>247399.13609030657</v>
      </c>
      <c r="AK73" s="93">
        <f t="shared" si="48"/>
        <v>191216.05072025262</v>
      </c>
      <c r="AL73" s="94">
        <f t="shared" si="49"/>
        <v>341646.4260294711</v>
      </c>
      <c r="AM73" s="102">
        <f t="shared" ref="AM73:AM136" si="54">$O$6/AN73</f>
        <v>1.7867037037037061</v>
      </c>
      <c r="AN73" s="235">
        <f t="shared" si="51"/>
        <v>0.71052631578947278</v>
      </c>
      <c r="AO73" s="394">
        <f t="shared" ref="AO73:AO136" si="55">$AO$6/AM73</f>
        <v>1399.2247258555981</v>
      </c>
      <c r="AP73" s="395">
        <f t="shared" si="52"/>
        <v>46.640824195186603</v>
      </c>
    </row>
    <row r="74" spans="3:42" ht="15" thickTop="1" x14ac:dyDescent="0.35">
      <c r="AF74" s="230">
        <f t="shared" si="53"/>
        <v>68</v>
      </c>
      <c r="AG74" s="270">
        <f t="shared" si="46"/>
        <v>2026</v>
      </c>
      <c r="AH74" s="243" t="s">
        <v>115</v>
      </c>
      <c r="AI74" s="314">
        <f>AI73+31</f>
        <v>46235</v>
      </c>
      <c r="AJ74" s="91">
        <f t="shared" si="47"/>
        <v>248905.83803034187</v>
      </c>
      <c r="AK74" s="93">
        <f t="shared" si="48"/>
        <v>191193.05381802691</v>
      </c>
      <c r="AL74" s="94">
        <f t="shared" si="49"/>
        <v>343727.10966094839</v>
      </c>
      <c r="AM74" s="102">
        <f t="shared" si="54"/>
        <v>1.7978012422360272</v>
      </c>
      <c r="AN74" s="235">
        <f t="shared" si="51"/>
        <v>0.70614035087719207</v>
      </c>
      <c r="AO74" s="394">
        <f t="shared" si="55"/>
        <v>1390.5875361898229</v>
      </c>
      <c r="AP74" s="395">
        <f t="shared" si="52"/>
        <v>46.352917872994091</v>
      </c>
    </row>
    <row r="75" spans="3:42" x14ac:dyDescent="0.35">
      <c r="AF75" s="230">
        <f t="shared" si="53"/>
        <v>69</v>
      </c>
      <c r="AG75" s="270">
        <f t="shared" si="46"/>
        <v>2026</v>
      </c>
      <c r="AH75" s="243" t="s">
        <v>116</v>
      </c>
      <c r="AI75" s="314">
        <f>AI74+31</f>
        <v>46266</v>
      </c>
      <c r="AJ75" s="91">
        <f t="shared" si="47"/>
        <v>250412.53997037714</v>
      </c>
      <c r="AK75" s="93">
        <f t="shared" si="48"/>
        <v>191155.67990847354</v>
      </c>
      <c r="AL75" s="94">
        <f t="shared" si="49"/>
        <v>345807.79329242569</v>
      </c>
      <c r="AM75" s="102">
        <f t="shared" si="54"/>
        <v>1.8090375000000025</v>
      </c>
      <c r="AN75" s="235">
        <f t="shared" si="51"/>
        <v>0.70175438596491135</v>
      </c>
      <c r="AO75" s="394">
        <f t="shared" si="55"/>
        <v>1381.9503465240475</v>
      </c>
      <c r="AP75" s="395">
        <f t="shared" si="52"/>
        <v>46.065011550801579</v>
      </c>
    </row>
    <row r="76" spans="3:42" x14ac:dyDescent="0.35">
      <c r="AF76" s="230">
        <f t="shared" si="53"/>
        <v>70</v>
      </c>
      <c r="AG76" s="270">
        <f t="shared" si="46"/>
        <v>2026</v>
      </c>
      <c r="AH76" s="243" t="s">
        <v>117</v>
      </c>
      <c r="AI76" s="314">
        <f t="shared" si="50"/>
        <v>46296</v>
      </c>
      <c r="AJ76" s="91">
        <f t="shared" si="47"/>
        <v>251919.24191041244</v>
      </c>
      <c r="AK76" s="93">
        <f t="shared" si="48"/>
        <v>191103.92899159255</v>
      </c>
      <c r="AL76" s="94">
        <f t="shared" si="49"/>
        <v>347888.47692390298</v>
      </c>
      <c r="AM76" s="102">
        <f t="shared" si="54"/>
        <v>1.8204150943396251</v>
      </c>
      <c r="AN76" s="235">
        <f t="shared" si="51"/>
        <v>0.69736842105263064</v>
      </c>
      <c r="AO76" s="394">
        <f t="shared" si="55"/>
        <v>1373.3131568582721</v>
      </c>
      <c r="AP76" s="395">
        <f t="shared" si="52"/>
        <v>45.777105228609074</v>
      </c>
    </row>
    <row r="77" spans="3:42" x14ac:dyDescent="0.35">
      <c r="AF77" s="230">
        <f t="shared" si="53"/>
        <v>71</v>
      </c>
      <c r="AG77" s="270">
        <f t="shared" si="46"/>
        <v>2026</v>
      </c>
      <c r="AH77" s="243" t="s">
        <v>118</v>
      </c>
      <c r="AI77" s="314">
        <f>AI76+31</f>
        <v>46327</v>
      </c>
      <c r="AJ77" s="91">
        <f t="shared" si="47"/>
        <v>253425.94385044774</v>
      </c>
      <c r="AK77" s="93">
        <f t="shared" si="48"/>
        <v>191037.80106738393</v>
      </c>
      <c r="AL77" s="94">
        <f t="shared" si="49"/>
        <v>349969.16055538028</v>
      </c>
      <c r="AM77" s="102">
        <f t="shared" si="54"/>
        <v>1.8319367088607621</v>
      </c>
      <c r="AN77" s="235">
        <f t="shared" si="51"/>
        <v>0.69298245614034992</v>
      </c>
      <c r="AO77" s="394">
        <f t="shared" si="55"/>
        <v>1364.6759671924967</v>
      </c>
      <c r="AP77" s="395">
        <f t="shared" si="52"/>
        <v>45.489198906416561</v>
      </c>
    </row>
    <row r="78" spans="3:42" ht="15" thickBot="1" x14ac:dyDescent="0.4">
      <c r="AF78" s="236">
        <f t="shared" si="53"/>
        <v>72</v>
      </c>
      <c r="AG78" s="272">
        <f t="shared" si="46"/>
        <v>2026</v>
      </c>
      <c r="AH78" s="246" t="s">
        <v>119</v>
      </c>
      <c r="AI78" s="315">
        <f t="shared" si="50"/>
        <v>46357</v>
      </c>
      <c r="AJ78" s="238">
        <f t="shared" si="47"/>
        <v>254932.64579048299</v>
      </c>
      <c r="AK78" s="239">
        <f t="shared" si="48"/>
        <v>190957.29613584763</v>
      </c>
      <c r="AL78" s="240">
        <f t="shared" si="49"/>
        <v>352049.84418685758</v>
      </c>
      <c r="AM78" s="241">
        <f t="shared" si="54"/>
        <v>1.8436050955414041</v>
      </c>
      <c r="AN78" s="242">
        <f t="shared" si="51"/>
        <v>0.68859649122806921</v>
      </c>
      <c r="AO78" s="396">
        <f t="shared" si="55"/>
        <v>1356.0387775267213</v>
      </c>
      <c r="AP78" s="395">
        <f t="shared" si="52"/>
        <v>45.201292584224042</v>
      </c>
    </row>
    <row r="79" spans="3:42" x14ac:dyDescent="0.35">
      <c r="AF79" s="230">
        <f>AF78+1</f>
        <v>73</v>
      </c>
      <c r="AG79" s="269">
        <f>AG67+1</f>
        <v>2027</v>
      </c>
      <c r="AH79" s="231" t="s">
        <v>108</v>
      </c>
      <c r="AI79" s="312">
        <v>46388</v>
      </c>
      <c r="AJ79" s="232">
        <f>AL67</f>
        <v>329162.32424060733</v>
      </c>
      <c r="AK79" s="93">
        <f>AL79/AM79</f>
        <v>244988.59641958147</v>
      </c>
      <c r="AL79" s="233">
        <f t="shared" ref="AL79" si="56">AJ79/$L$6*$M$6</f>
        <v>454557.49537988647</v>
      </c>
      <c r="AM79" s="244">
        <f t="shared" si="54"/>
        <v>1.8554230769230797</v>
      </c>
      <c r="AN79" s="245">
        <f t="shared" si="51"/>
        <v>0.68421052631578849</v>
      </c>
      <c r="AO79" s="386">
        <f t="shared" si="55"/>
        <v>1347.4015878609462</v>
      </c>
      <c r="AP79" s="397">
        <f t="shared" si="52"/>
        <v>44.913386262031537</v>
      </c>
    </row>
    <row r="80" spans="3:42" x14ac:dyDescent="0.35">
      <c r="AF80" s="230">
        <f t="shared" ref="AF80:AF90" si="57">AF79+1</f>
        <v>74</v>
      </c>
      <c r="AG80" s="269">
        <f>AG79</f>
        <v>2027</v>
      </c>
      <c r="AH80" s="231" t="s">
        <v>109</v>
      </c>
      <c r="AI80" s="312">
        <f>AI79+31</f>
        <v>46419</v>
      </c>
      <c r="AJ80" s="91">
        <f>AL80/$AL$6*$AJ$6</f>
        <v>330669.02618064266</v>
      </c>
      <c r="AK80" s="93">
        <f>AL80/AM80</f>
        <v>244532.37476683484</v>
      </c>
      <c r="AL80" s="94">
        <f>AL79+($AL$19-$AL$7)/12</f>
        <v>456638.17901136377</v>
      </c>
      <c r="AM80" s="102">
        <f t="shared" si="54"/>
        <v>1.8673935483870996</v>
      </c>
      <c r="AN80" s="235">
        <f t="shared" si="51"/>
        <v>0.67982456140350778</v>
      </c>
      <c r="AO80" s="388">
        <f t="shared" si="55"/>
        <v>1338.7643981951708</v>
      </c>
      <c r="AP80" s="389">
        <f t="shared" si="52"/>
        <v>44.625479939839025</v>
      </c>
    </row>
    <row r="81" spans="32:42" x14ac:dyDescent="0.35">
      <c r="AF81" s="230">
        <f t="shared" si="57"/>
        <v>75</v>
      </c>
      <c r="AG81" s="270">
        <f t="shared" ref="AG81:AG90" si="58">AG80</f>
        <v>2027</v>
      </c>
      <c r="AH81" s="231" t="s">
        <v>110</v>
      </c>
      <c r="AI81" s="312">
        <f>AI80+28</f>
        <v>46447</v>
      </c>
      <c r="AJ81" s="91">
        <f t="shared" ref="AJ81:AJ90" si="59">AL81/$AL$6*$AJ$6</f>
        <v>332175.72812067787</v>
      </c>
      <c r="AK81" s="93">
        <f t="shared" ref="AK81:AK90" si="60">AL81/AM81</f>
        <v>244061.77610676055</v>
      </c>
      <c r="AL81" s="94">
        <f t="shared" ref="AL81:AL90" si="61">AL80+($AL$19-$AL$7)/12</f>
        <v>458718.86264284106</v>
      </c>
      <c r="AM81" s="102">
        <f t="shared" si="54"/>
        <v>1.8795194805194835</v>
      </c>
      <c r="AN81" s="235">
        <f t="shared" si="51"/>
        <v>0.67543859649122706</v>
      </c>
      <c r="AO81" s="388">
        <f t="shared" si="55"/>
        <v>1330.1272085293954</v>
      </c>
      <c r="AP81" s="389">
        <f t="shared" si="52"/>
        <v>44.337573617646513</v>
      </c>
    </row>
    <row r="82" spans="32:42" x14ac:dyDescent="0.35">
      <c r="AF82" s="230">
        <f t="shared" si="57"/>
        <v>76</v>
      </c>
      <c r="AG82" s="270">
        <f t="shared" si="58"/>
        <v>2027</v>
      </c>
      <c r="AH82" s="231" t="s">
        <v>111</v>
      </c>
      <c r="AI82" s="312">
        <f t="shared" ref="AI82:AI89" si="62">AI81+31</f>
        <v>46478</v>
      </c>
      <c r="AJ82" s="91">
        <f t="shared" si="59"/>
        <v>333682.4300607132</v>
      </c>
      <c r="AK82" s="93">
        <f t="shared" si="60"/>
        <v>243576.80043935863</v>
      </c>
      <c r="AL82" s="94">
        <f t="shared" si="61"/>
        <v>460799.54627431836</v>
      </c>
      <c r="AM82" s="102">
        <f t="shared" si="54"/>
        <v>1.8918039215686304</v>
      </c>
      <c r="AN82" s="235">
        <f t="shared" si="51"/>
        <v>0.67105263157894635</v>
      </c>
      <c r="AO82" s="388">
        <f t="shared" si="55"/>
        <v>1321.4900188636202</v>
      </c>
      <c r="AP82" s="389">
        <f t="shared" si="52"/>
        <v>44.049667295454</v>
      </c>
    </row>
    <row r="83" spans="32:42" x14ac:dyDescent="0.35">
      <c r="AF83" s="230">
        <f t="shared" si="57"/>
        <v>77</v>
      </c>
      <c r="AG83" s="270">
        <f t="shared" si="58"/>
        <v>2027</v>
      </c>
      <c r="AH83" s="231" t="s">
        <v>112</v>
      </c>
      <c r="AI83" s="312">
        <f>AI82+30</f>
        <v>46508</v>
      </c>
      <c r="AJ83" s="91">
        <f t="shared" si="59"/>
        <v>335189.13200074848</v>
      </c>
      <c r="AK83" s="93">
        <f t="shared" si="60"/>
        <v>243077.44776462906</v>
      </c>
      <c r="AL83" s="94">
        <f t="shared" si="61"/>
        <v>462880.22990579566</v>
      </c>
      <c r="AM83" s="102">
        <f t="shared" si="54"/>
        <v>1.9042500000000031</v>
      </c>
      <c r="AN83" s="235">
        <f t="shared" si="51"/>
        <v>0.66666666666666563</v>
      </c>
      <c r="AO83" s="388">
        <f t="shared" si="55"/>
        <v>1312.8528291978448</v>
      </c>
      <c r="AP83" s="389">
        <f t="shared" si="52"/>
        <v>43.761760973261488</v>
      </c>
    </row>
    <row r="84" spans="32:42" x14ac:dyDescent="0.35">
      <c r="AF84" s="230">
        <f t="shared" si="57"/>
        <v>78</v>
      </c>
      <c r="AG84" s="273">
        <f t="shared" si="58"/>
        <v>2027</v>
      </c>
      <c r="AH84" s="231" t="s">
        <v>113</v>
      </c>
      <c r="AI84" s="312">
        <f t="shared" si="62"/>
        <v>46539</v>
      </c>
      <c r="AJ84" s="91">
        <f t="shared" si="59"/>
        <v>336695.83394078375</v>
      </c>
      <c r="AK84" s="93">
        <f t="shared" si="60"/>
        <v>242563.7180825719</v>
      </c>
      <c r="AL84" s="94">
        <f t="shared" si="61"/>
        <v>464960.91353727295</v>
      </c>
      <c r="AM84" s="102">
        <f t="shared" si="54"/>
        <v>1.9168609271523209</v>
      </c>
      <c r="AN84" s="235">
        <f t="shared" si="51"/>
        <v>0.66228070175438492</v>
      </c>
      <c r="AO84" s="388">
        <f t="shared" si="55"/>
        <v>1304.2156395320696</v>
      </c>
      <c r="AP84" s="389">
        <f t="shared" si="52"/>
        <v>43.473854651068983</v>
      </c>
    </row>
    <row r="85" spans="32:42" x14ac:dyDescent="0.35">
      <c r="AF85" s="230">
        <f t="shared" si="57"/>
        <v>79</v>
      </c>
      <c r="AG85" s="270">
        <f t="shared" si="58"/>
        <v>2027</v>
      </c>
      <c r="AH85" s="231" t="s">
        <v>114</v>
      </c>
      <c r="AI85" s="312">
        <f>AI84+30</f>
        <v>46569</v>
      </c>
      <c r="AJ85" s="91">
        <f t="shared" si="59"/>
        <v>338202.53588081908</v>
      </c>
      <c r="AK85" s="93">
        <f t="shared" si="60"/>
        <v>242035.61139318708</v>
      </c>
      <c r="AL85" s="94">
        <f t="shared" si="61"/>
        <v>467041.59716875025</v>
      </c>
      <c r="AM85" s="102">
        <f t="shared" si="54"/>
        <v>1.9296400000000031</v>
      </c>
      <c r="AN85" s="235">
        <f t="shared" si="51"/>
        <v>0.6578947368421042</v>
      </c>
      <c r="AO85" s="388">
        <f t="shared" si="55"/>
        <v>1295.5784498662942</v>
      </c>
      <c r="AP85" s="389">
        <f t="shared" si="52"/>
        <v>43.185948328876471</v>
      </c>
    </row>
    <row r="86" spans="32:42" x14ac:dyDescent="0.35">
      <c r="AF86" s="230">
        <f t="shared" si="57"/>
        <v>80</v>
      </c>
      <c r="AG86" s="270">
        <f t="shared" si="58"/>
        <v>2027</v>
      </c>
      <c r="AH86" s="231" t="s">
        <v>115</v>
      </c>
      <c r="AI86" s="312">
        <f t="shared" si="62"/>
        <v>46600</v>
      </c>
      <c r="AJ86" s="91">
        <f t="shared" si="59"/>
        <v>339709.23782085429</v>
      </c>
      <c r="AK86" s="93">
        <f t="shared" si="60"/>
        <v>241493.12769647458</v>
      </c>
      <c r="AL86" s="94">
        <f t="shared" si="61"/>
        <v>469122.28080022754</v>
      </c>
      <c r="AM86" s="102">
        <f t="shared" si="54"/>
        <v>1.942590604026849</v>
      </c>
      <c r="AN86" s="235">
        <f t="shared" si="51"/>
        <v>0.65350877192982348</v>
      </c>
      <c r="AO86" s="388">
        <f t="shared" si="55"/>
        <v>1286.9412602005189</v>
      </c>
      <c r="AP86" s="389">
        <f t="shared" si="52"/>
        <v>42.898042006683959</v>
      </c>
    </row>
    <row r="87" spans="32:42" x14ac:dyDescent="0.35">
      <c r="AF87" s="230">
        <f t="shared" si="57"/>
        <v>81</v>
      </c>
      <c r="AG87" s="270">
        <f t="shared" si="58"/>
        <v>2027</v>
      </c>
      <c r="AH87" s="231" t="s">
        <v>116</v>
      </c>
      <c r="AI87" s="312">
        <f t="shared" si="62"/>
        <v>46631</v>
      </c>
      <c r="AJ87" s="91">
        <f t="shared" si="59"/>
        <v>341215.93976088963</v>
      </c>
      <c r="AK87" s="93">
        <f t="shared" si="60"/>
        <v>240936.26699243451</v>
      </c>
      <c r="AL87" s="94">
        <f t="shared" si="61"/>
        <v>471202.96443170484</v>
      </c>
      <c r="AM87" s="102">
        <f t="shared" si="54"/>
        <v>1.9557162162162196</v>
      </c>
      <c r="AN87" s="235">
        <f t="shared" si="51"/>
        <v>0.64912280701754277</v>
      </c>
      <c r="AO87" s="388">
        <f t="shared" si="55"/>
        <v>1278.3040705347435</v>
      </c>
      <c r="AP87" s="389">
        <f t="shared" si="52"/>
        <v>42.610135684491446</v>
      </c>
    </row>
    <row r="88" spans="32:42" x14ac:dyDescent="0.35">
      <c r="AF88" s="230">
        <f t="shared" si="57"/>
        <v>82</v>
      </c>
      <c r="AG88" s="270">
        <f t="shared" si="58"/>
        <v>2027</v>
      </c>
      <c r="AH88" s="231" t="s">
        <v>117</v>
      </c>
      <c r="AI88" s="312">
        <f>AI87+30</f>
        <v>46661</v>
      </c>
      <c r="AJ88" s="91">
        <f t="shared" si="59"/>
        <v>342722.6417009249</v>
      </c>
      <c r="AK88" s="93">
        <f t="shared" si="60"/>
        <v>240365.02928106676</v>
      </c>
      <c r="AL88" s="94">
        <f t="shared" si="61"/>
        <v>473283.64806318213</v>
      </c>
      <c r="AM88" s="102">
        <f t="shared" si="54"/>
        <v>1.9690204081632687</v>
      </c>
      <c r="AN88" s="235">
        <f t="shared" si="51"/>
        <v>0.64473684210526205</v>
      </c>
      <c r="AO88" s="388">
        <f t="shared" si="55"/>
        <v>1269.6668808689681</v>
      </c>
      <c r="AP88" s="389">
        <f t="shared" si="52"/>
        <v>42.322229362298934</v>
      </c>
    </row>
    <row r="89" spans="32:42" x14ac:dyDescent="0.35">
      <c r="AF89" s="230">
        <f t="shared" si="57"/>
        <v>83</v>
      </c>
      <c r="AG89" s="270">
        <f t="shared" si="58"/>
        <v>2027</v>
      </c>
      <c r="AH89" s="231" t="s">
        <v>118</v>
      </c>
      <c r="AI89" s="312">
        <f t="shared" si="62"/>
        <v>46692</v>
      </c>
      <c r="AJ89" s="91">
        <f t="shared" si="59"/>
        <v>344229.34364096017</v>
      </c>
      <c r="AK89" s="93">
        <f t="shared" si="60"/>
        <v>239779.41456237138</v>
      </c>
      <c r="AL89" s="94">
        <f t="shared" si="61"/>
        <v>475364.33169465943</v>
      </c>
      <c r="AM89" s="102">
        <f t="shared" si="54"/>
        <v>1.9825068493150722</v>
      </c>
      <c r="AN89" s="235">
        <f t="shared" si="51"/>
        <v>0.64035087719298134</v>
      </c>
      <c r="AO89" s="388">
        <f t="shared" si="55"/>
        <v>1261.0296912031927</v>
      </c>
      <c r="AP89" s="389">
        <f t="shared" si="52"/>
        <v>42.034323040106422</v>
      </c>
    </row>
    <row r="90" spans="32:42" ht="15" thickBot="1" x14ac:dyDescent="0.4">
      <c r="AF90" s="236">
        <f t="shared" si="57"/>
        <v>84</v>
      </c>
      <c r="AG90" s="272">
        <f t="shared" si="58"/>
        <v>2027</v>
      </c>
      <c r="AH90" s="237" t="s">
        <v>119</v>
      </c>
      <c r="AI90" s="313">
        <f>AI89+30</f>
        <v>46722</v>
      </c>
      <c r="AJ90" s="238">
        <f t="shared" si="59"/>
        <v>345736.0455809955</v>
      </c>
      <c r="AK90" s="239">
        <f t="shared" si="60"/>
        <v>239179.42283634839</v>
      </c>
      <c r="AL90" s="240">
        <f t="shared" si="61"/>
        <v>477445.01532613672</v>
      </c>
      <c r="AM90" s="241">
        <f t="shared" si="54"/>
        <v>1.9961793103448313</v>
      </c>
      <c r="AN90" s="242">
        <f t="shared" si="51"/>
        <v>0.63596491228070062</v>
      </c>
      <c r="AO90" s="390">
        <f t="shared" si="55"/>
        <v>1252.3925015374175</v>
      </c>
      <c r="AP90" s="389">
        <f t="shared" si="52"/>
        <v>41.74641671791391</v>
      </c>
    </row>
    <row r="91" spans="32:42" x14ac:dyDescent="0.35">
      <c r="AF91" s="230">
        <f>AF90+1</f>
        <v>85</v>
      </c>
      <c r="AG91" s="269">
        <f>AG79+1</f>
        <v>2028</v>
      </c>
      <c r="AH91" s="243" t="s">
        <v>108</v>
      </c>
      <c r="AI91" s="314">
        <f>AI90+31</f>
        <v>46753</v>
      </c>
      <c r="AJ91" s="232">
        <f>AL79</f>
        <v>454557.49537988647</v>
      </c>
      <c r="AK91" s="93">
        <f>AL91/AM91</f>
        <v>312293.15587551048</v>
      </c>
      <c r="AL91" s="233">
        <f t="shared" ref="AL91" si="63">AJ91/$L$6*$M$6</f>
        <v>627722.2555246054</v>
      </c>
      <c r="AM91" s="244">
        <f t="shared" si="54"/>
        <v>2.0100416666666705</v>
      </c>
      <c r="AN91" s="245">
        <f t="shared" si="51"/>
        <v>0.63157894736841991</v>
      </c>
      <c r="AO91" s="392">
        <f t="shared" si="55"/>
        <v>1243.7553118716421</v>
      </c>
      <c r="AP91" s="398">
        <f t="shared" si="52"/>
        <v>41.458510395721397</v>
      </c>
    </row>
    <row r="92" spans="32:42" x14ac:dyDescent="0.35">
      <c r="AF92" s="230">
        <f t="shared" ref="AF92:AF102" si="64">AF91+1</f>
        <v>86</v>
      </c>
      <c r="AG92" s="269">
        <f>AG91</f>
        <v>2028</v>
      </c>
      <c r="AH92" s="243" t="s">
        <v>109</v>
      </c>
      <c r="AI92" s="314">
        <f>AI91+31</f>
        <v>46784</v>
      </c>
      <c r="AJ92" s="91">
        <f>AL92/$AL$6*$AJ$6</f>
        <v>456064.1973199218</v>
      </c>
      <c r="AK92" s="93">
        <f>AL92/AM92</f>
        <v>311152.40942807862</v>
      </c>
      <c r="AL92" s="94">
        <f>AL91+($AL$19-$AL$7)/12</f>
        <v>629802.93915608269</v>
      </c>
      <c r="AM92" s="102">
        <f t="shared" si="54"/>
        <v>2.024097902097906</v>
      </c>
      <c r="AN92" s="235">
        <f t="shared" si="51"/>
        <v>0.62719298245613919</v>
      </c>
      <c r="AO92" s="394">
        <f t="shared" si="55"/>
        <v>1235.1181222058667</v>
      </c>
      <c r="AP92" s="395">
        <f t="shared" si="52"/>
        <v>41.170604073528892</v>
      </c>
    </row>
    <row r="93" spans="32:42" x14ac:dyDescent="0.35">
      <c r="AF93" s="230">
        <f t="shared" si="64"/>
        <v>87</v>
      </c>
      <c r="AG93" s="270">
        <f t="shared" ref="AG93:AG102" si="65">AG92</f>
        <v>2028</v>
      </c>
      <c r="AH93" s="243" t="s">
        <v>110</v>
      </c>
      <c r="AI93" s="314">
        <f>AI92+29</f>
        <v>46813</v>
      </c>
      <c r="AJ93" s="91">
        <f t="shared" ref="AJ93:AJ102" si="66">AL93/$AL$6*$AJ$6</f>
        <v>457570.89925995714</v>
      </c>
      <c r="AK93" s="93">
        <f t="shared" ref="AK93:AK102" si="67">AL93/AM93</f>
        <v>309997.2859733192</v>
      </c>
      <c r="AL93" s="94">
        <f t="shared" ref="AL93:AL102" si="68">AL92+($AL$19-$AL$7)/12</f>
        <v>631883.62278755999</v>
      </c>
      <c r="AM93" s="102">
        <f t="shared" si="54"/>
        <v>2.0383521126760602</v>
      </c>
      <c r="AN93" s="235">
        <f t="shared" si="51"/>
        <v>0.62280701754385848</v>
      </c>
      <c r="AO93" s="394">
        <f t="shared" si="55"/>
        <v>1226.4809325400915</v>
      </c>
      <c r="AP93" s="395">
        <f t="shared" si="52"/>
        <v>40.88269775133638</v>
      </c>
    </row>
    <row r="94" spans="32:42" x14ac:dyDescent="0.35">
      <c r="AF94" s="230">
        <f t="shared" si="64"/>
        <v>88</v>
      </c>
      <c r="AG94" s="270">
        <f t="shared" si="65"/>
        <v>2028</v>
      </c>
      <c r="AH94" s="243" t="s">
        <v>111</v>
      </c>
      <c r="AI94" s="314">
        <f>AI93+31</f>
        <v>46844</v>
      </c>
      <c r="AJ94" s="91">
        <f t="shared" si="66"/>
        <v>459077.60119999241</v>
      </c>
      <c r="AK94" s="93">
        <f t="shared" si="67"/>
        <v>308827.78551123204</v>
      </c>
      <c r="AL94" s="94">
        <f t="shared" si="68"/>
        <v>633964.30641903728</v>
      </c>
      <c r="AM94" s="102">
        <f t="shared" si="54"/>
        <v>2.0528085106383021</v>
      </c>
      <c r="AN94" s="235">
        <f t="shared" si="51"/>
        <v>0.61842105263157776</v>
      </c>
      <c r="AO94" s="394">
        <f t="shared" si="55"/>
        <v>1217.8437428743161</v>
      </c>
      <c r="AP94" s="395">
        <f t="shared" si="52"/>
        <v>40.594791429143868</v>
      </c>
    </row>
    <row r="95" spans="32:42" x14ac:dyDescent="0.35">
      <c r="AF95" s="230">
        <f t="shared" si="64"/>
        <v>89</v>
      </c>
      <c r="AG95" s="270">
        <f t="shared" si="65"/>
        <v>2028</v>
      </c>
      <c r="AH95" s="243" t="s">
        <v>112</v>
      </c>
      <c r="AI95" s="314">
        <f t="shared" ref="AI95:AI102" si="69">AI94+30</f>
        <v>46874</v>
      </c>
      <c r="AJ95" s="91">
        <f t="shared" si="66"/>
        <v>460584.30314002762</v>
      </c>
      <c r="AK95" s="93">
        <f t="shared" si="67"/>
        <v>307643.90804181731</v>
      </c>
      <c r="AL95" s="94">
        <f t="shared" si="68"/>
        <v>636044.99005051458</v>
      </c>
      <c r="AM95" s="102">
        <f t="shared" si="54"/>
        <v>2.0674714285714328</v>
      </c>
      <c r="AN95" s="235">
        <f t="shared" si="51"/>
        <v>0.61403508771929705</v>
      </c>
      <c r="AO95" s="394">
        <f t="shared" si="55"/>
        <v>1209.2065532085408</v>
      </c>
      <c r="AP95" s="395">
        <f t="shared" si="52"/>
        <v>40.306885106951356</v>
      </c>
    </row>
    <row r="96" spans="32:42" x14ac:dyDescent="0.35">
      <c r="AF96" s="230">
        <f t="shared" si="64"/>
        <v>90</v>
      </c>
      <c r="AG96" s="273">
        <f t="shared" si="65"/>
        <v>2028</v>
      </c>
      <c r="AH96" s="243" t="s">
        <v>113</v>
      </c>
      <c r="AI96" s="314">
        <f>AI95+31</f>
        <v>46905</v>
      </c>
      <c r="AJ96" s="91">
        <f t="shared" si="66"/>
        <v>462091.0050800629</v>
      </c>
      <c r="AK96" s="93">
        <f t="shared" si="67"/>
        <v>306445.65356507496</v>
      </c>
      <c r="AL96" s="94">
        <f t="shared" si="68"/>
        <v>638125.67368199187</v>
      </c>
      <c r="AM96" s="102">
        <f t="shared" si="54"/>
        <v>2.0823453237410114</v>
      </c>
      <c r="AN96" s="235">
        <f t="shared" si="51"/>
        <v>0.60964912280701633</v>
      </c>
      <c r="AO96" s="394">
        <f t="shared" si="55"/>
        <v>1200.5693635427654</v>
      </c>
      <c r="AP96" s="395">
        <f t="shared" si="52"/>
        <v>40.018978784758843</v>
      </c>
    </row>
    <row r="97" spans="32:42" x14ac:dyDescent="0.35">
      <c r="AF97" s="230">
        <f t="shared" si="64"/>
        <v>91</v>
      </c>
      <c r="AG97" s="270">
        <f t="shared" si="65"/>
        <v>2028</v>
      </c>
      <c r="AH97" s="243" t="s">
        <v>114</v>
      </c>
      <c r="AI97" s="314">
        <f t="shared" si="69"/>
        <v>46935</v>
      </c>
      <c r="AJ97" s="91">
        <f t="shared" si="66"/>
        <v>463597.70702009823</v>
      </c>
      <c r="AK97" s="93">
        <f t="shared" si="67"/>
        <v>305233.02208100498</v>
      </c>
      <c r="AL97" s="94">
        <f t="shared" si="68"/>
        <v>640206.35731346917</v>
      </c>
      <c r="AM97" s="102">
        <f t="shared" si="54"/>
        <v>2.0974347826086999</v>
      </c>
      <c r="AN97" s="235">
        <f t="shared" si="51"/>
        <v>0.60526315789473562</v>
      </c>
      <c r="AO97" s="394">
        <f t="shared" si="55"/>
        <v>1191.9321738769902</v>
      </c>
      <c r="AP97" s="395">
        <f t="shared" si="52"/>
        <v>39.731072462566338</v>
      </c>
    </row>
    <row r="98" spans="32:42" x14ac:dyDescent="0.35">
      <c r="AF98" s="230">
        <f t="shared" si="64"/>
        <v>92</v>
      </c>
      <c r="AG98" s="270">
        <f t="shared" si="65"/>
        <v>2028</v>
      </c>
      <c r="AH98" s="243" t="s">
        <v>115</v>
      </c>
      <c r="AI98" s="314">
        <f>AI97+31</f>
        <v>46966</v>
      </c>
      <c r="AJ98" s="91">
        <f t="shared" si="66"/>
        <v>465104.40896013356</v>
      </c>
      <c r="AK98" s="93">
        <f t="shared" si="67"/>
        <v>304006.01358960732</v>
      </c>
      <c r="AL98" s="94">
        <f t="shared" si="68"/>
        <v>642287.04094494646</v>
      </c>
      <c r="AM98" s="102">
        <f t="shared" si="54"/>
        <v>2.1127445255474497</v>
      </c>
      <c r="AN98" s="235">
        <f t="shared" si="51"/>
        <v>0.6008771929824549</v>
      </c>
      <c r="AO98" s="394">
        <f t="shared" si="55"/>
        <v>1183.2949842112148</v>
      </c>
      <c r="AP98" s="395">
        <f t="shared" si="52"/>
        <v>39.443166140373826</v>
      </c>
    </row>
    <row r="99" spans="32:42" x14ac:dyDescent="0.35">
      <c r="AF99" s="230">
        <f t="shared" si="64"/>
        <v>93</v>
      </c>
      <c r="AG99" s="270">
        <f t="shared" si="65"/>
        <v>2028</v>
      </c>
      <c r="AH99" s="243" t="s">
        <v>116</v>
      </c>
      <c r="AI99" s="314">
        <f>AI98+31</f>
        <v>46997</v>
      </c>
      <c r="AJ99" s="91">
        <f t="shared" si="66"/>
        <v>466611.11090016883</v>
      </c>
      <c r="AK99" s="93">
        <f t="shared" si="67"/>
        <v>302764.62809088203</v>
      </c>
      <c r="AL99" s="94">
        <f t="shared" si="68"/>
        <v>644367.72457642376</v>
      </c>
      <c r="AM99" s="102">
        <f t="shared" si="54"/>
        <v>2.1282794117647104</v>
      </c>
      <c r="AN99" s="235">
        <f t="shared" si="51"/>
        <v>0.59649122807017418</v>
      </c>
      <c r="AO99" s="394">
        <f t="shared" si="55"/>
        <v>1174.6577945454394</v>
      </c>
      <c r="AP99" s="395">
        <f t="shared" si="52"/>
        <v>39.155259818181314</v>
      </c>
    </row>
    <row r="100" spans="32:42" x14ac:dyDescent="0.35">
      <c r="AF100" s="230">
        <f t="shared" si="64"/>
        <v>94</v>
      </c>
      <c r="AG100" s="270">
        <f t="shared" si="65"/>
        <v>2028</v>
      </c>
      <c r="AH100" s="243" t="s">
        <v>117</v>
      </c>
      <c r="AI100" s="314">
        <f t="shared" si="69"/>
        <v>47027</v>
      </c>
      <c r="AJ100" s="91">
        <f t="shared" si="66"/>
        <v>468117.81284020405</v>
      </c>
      <c r="AK100" s="93">
        <f t="shared" si="67"/>
        <v>301508.86558482912</v>
      </c>
      <c r="AL100" s="94">
        <f t="shared" si="68"/>
        <v>646448.40820790105</v>
      </c>
      <c r="AM100" s="102">
        <f t="shared" si="54"/>
        <v>2.1440444444444493</v>
      </c>
      <c r="AN100" s="235">
        <f t="shared" si="51"/>
        <v>0.59210526315789347</v>
      </c>
      <c r="AO100" s="394">
        <f t="shared" si="55"/>
        <v>1166.020604879664</v>
      </c>
      <c r="AP100" s="395">
        <f t="shared" si="52"/>
        <v>38.867353495988802</v>
      </c>
    </row>
    <row r="101" spans="32:42" x14ac:dyDescent="0.35">
      <c r="AF101" s="230">
        <f t="shared" si="64"/>
        <v>95</v>
      </c>
      <c r="AG101" s="270">
        <f t="shared" si="65"/>
        <v>2028</v>
      </c>
      <c r="AH101" s="243" t="s">
        <v>118</v>
      </c>
      <c r="AI101" s="314">
        <f>AI100+31</f>
        <v>47058</v>
      </c>
      <c r="AJ101" s="91">
        <f t="shared" si="66"/>
        <v>469624.51478023932</v>
      </c>
      <c r="AK101" s="93">
        <f t="shared" si="67"/>
        <v>300238.72607144859</v>
      </c>
      <c r="AL101" s="94">
        <f t="shared" si="68"/>
        <v>648529.09183937835</v>
      </c>
      <c r="AM101" s="102">
        <f t="shared" si="54"/>
        <v>2.1600447761194079</v>
      </c>
      <c r="AN101" s="235">
        <f t="shared" si="51"/>
        <v>0.58771929824561275</v>
      </c>
      <c r="AO101" s="394">
        <f t="shared" si="55"/>
        <v>1157.3834152138886</v>
      </c>
      <c r="AP101" s="395">
        <f t="shared" si="52"/>
        <v>38.579447173796289</v>
      </c>
    </row>
    <row r="102" spans="32:42" ht="15" thickBot="1" x14ac:dyDescent="0.4">
      <c r="AF102" s="236">
        <f t="shared" si="64"/>
        <v>96</v>
      </c>
      <c r="AG102" s="272">
        <f t="shared" si="65"/>
        <v>2028</v>
      </c>
      <c r="AH102" s="246" t="s">
        <v>119</v>
      </c>
      <c r="AI102" s="315">
        <f t="shared" si="69"/>
        <v>47088</v>
      </c>
      <c r="AJ102" s="238">
        <f t="shared" si="66"/>
        <v>471131.21672027465</v>
      </c>
      <c r="AK102" s="239">
        <f t="shared" si="67"/>
        <v>298954.20955074043</v>
      </c>
      <c r="AL102" s="240">
        <f t="shared" si="68"/>
        <v>650609.77547085565</v>
      </c>
      <c r="AM102" s="241">
        <f t="shared" si="54"/>
        <v>2.176285714285719</v>
      </c>
      <c r="AN102" s="242">
        <f t="shared" si="51"/>
        <v>0.58333333333333204</v>
      </c>
      <c r="AO102" s="396">
        <f t="shared" si="55"/>
        <v>1148.7462255481134</v>
      </c>
      <c r="AP102" s="395">
        <f t="shared" si="52"/>
        <v>38.291540851603784</v>
      </c>
    </row>
    <row r="103" spans="32:42" x14ac:dyDescent="0.35">
      <c r="AF103" s="230">
        <f>AF102+1</f>
        <v>97</v>
      </c>
      <c r="AG103" s="269">
        <f>AG91+1</f>
        <v>2029</v>
      </c>
      <c r="AH103" s="231" t="s">
        <v>108</v>
      </c>
      <c r="AI103" s="312">
        <v>47119</v>
      </c>
      <c r="AJ103" s="232">
        <f>AL91</f>
        <v>627722.2555246054</v>
      </c>
      <c r="AK103" s="93">
        <f>AL103/AM103</f>
        <v>395323.47906463424</v>
      </c>
      <c r="AL103" s="233">
        <f t="shared" ref="AL103" si="70">AJ103/$L$6*$M$6</f>
        <v>866854.54334350291</v>
      </c>
      <c r="AM103" s="244">
        <f t="shared" si="54"/>
        <v>2.1927727272727324</v>
      </c>
      <c r="AN103" s="245">
        <f t="shared" si="51"/>
        <v>0.57894736842105132</v>
      </c>
      <c r="AO103" s="386">
        <f t="shared" si="55"/>
        <v>1140.109035882338</v>
      </c>
      <c r="AP103" s="397">
        <f t="shared" si="52"/>
        <v>38.003634529411265</v>
      </c>
    </row>
    <row r="104" spans="32:42" x14ac:dyDescent="0.35">
      <c r="AF104" s="230">
        <f t="shared" ref="AF104:AF114" si="71">AF103+1</f>
        <v>98</v>
      </c>
      <c r="AG104" s="269">
        <f>AG103</f>
        <v>2029</v>
      </c>
      <c r="AH104" s="231" t="s">
        <v>109</v>
      </c>
      <c r="AI104" s="312">
        <f>AI103+31</f>
        <v>47150</v>
      </c>
      <c r="AJ104" s="91">
        <f>AL104/$AL$6*$AJ$6</f>
        <v>629228.95746464073</v>
      </c>
      <c r="AK104" s="93">
        <f>AL104/AM104</f>
        <v>393270.29820319556</v>
      </c>
      <c r="AL104" s="94">
        <f>AL103+($AL$19-$AL$7)/12</f>
        <v>868935.22697498021</v>
      </c>
      <c r="AM104" s="102">
        <f t="shared" si="54"/>
        <v>2.2095114503816844</v>
      </c>
      <c r="AN104" s="235">
        <f t="shared" si="51"/>
        <v>0.57456140350877061</v>
      </c>
      <c r="AO104" s="388">
        <f t="shared" si="55"/>
        <v>1131.4718462165629</v>
      </c>
      <c r="AP104" s="389">
        <f t="shared" si="52"/>
        <v>37.71572820721876</v>
      </c>
    </row>
    <row r="105" spans="32:42" x14ac:dyDescent="0.35">
      <c r="AF105" s="230">
        <f t="shared" si="71"/>
        <v>99</v>
      </c>
      <c r="AG105" s="270">
        <f t="shared" ref="AG105:AG114" si="72">AG104</f>
        <v>2029</v>
      </c>
      <c r="AH105" s="231" t="s">
        <v>110</v>
      </c>
      <c r="AI105" s="312">
        <f>AI104+28</f>
        <v>47178</v>
      </c>
      <c r="AJ105" s="91">
        <f t="shared" ref="AJ105:AJ114" si="73">AL105/$AL$6*$AJ$6</f>
        <v>630735.65940467594</v>
      </c>
      <c r="AK105" s="93">
        <f t="shared" ref="AK105:AK114" si="74">AL105/AM105</f>
        <v>391202.74033442925</v>
      </c>
      <c r="AL105" s="94">
        <f t="shared" ref="AL105:AL114" si="75">AL104+($AL$19-$AL$7)/12</f>
        <v>871015.9106064575</v>
      </c>
      <c r="AM105" s="102">
        <f t="shared" si="54"/>
        <v>2.2265076923076976</v>
      </c>
      <c r="AN105" s="235">
        <f t="shared" si="51"/>
        <v>0.57017543859648989</v>
      </c>
      <c r="AO105" s="388">
        <f t="shared" si="55"/>
        <v>1122.8346565507875</v>
      </c>
      <c r="AP105" s="389">
        <f t="shared" si="52"/>
        <v>37.427821885026248</v>
      </c>
    </row>
    <row r="106" spans="32:42" x14ac:dyDescent="0.35">
      <c r="AF106" s="230">
        <f t="shared" si="71"/>
        <v>100</v>
      </c>
      <c r="AG106" s="270">
        <f t="shared" si="72"/>
        <v>2029</v>
      </c>
      <c r="AH106" s="231" t="s">
        <v>111</v>
      </c>
      <c r="AI106" s="312">
        <f t="shared" ref="AI106:AI113" si="76">AI105+31</f>
        <v>47209</v>
      </c>
      <c r="AJ106" s="91">
        <f t="shared" si="73"/>
        <v>632242.36134471116</v>
      </c>
      <c r="AK106" s="93">
        <f t="shared" si="74"/>
        <v>389120.80545833532</v>
      </c>
      <c r="AL106" s="94">
        <f t="shared" si="75"/>
        <v>873096.5942379348</v>
      </c>
      <c r="AM106" s="102">
        <f t="shared" si="54"/>
        <v>2.2437674418604705</v>
      </c>
      <c r="AN106" s="235">
        <f t="shared" si="51"/>
        <v>0.56578947368420918</v>
      </c>
      <c r="AO106" s="388">
        <f t="shared" si="55"/>
        <v>1114.1974668850121</v>
      </c>
      <c r="AP106" s="389">
        <f t="shared" si="52"/>
        <v>37.139915562833735</v>
      </c>
    </row>
    <row r="107" spans="32:42" x14ac:dyDescent="0.35">
      <c r="AF107" s="230">
        <f t="shared" si="71"/>
        <v>101</v>
      </c>
      <c r="AG107" s="270">
        <f t="shared" si="72"/>
        <v>2029</v>
      </c>
      <c r="AH107" s="231" t="s">
        <v>112</v>
      </c>
      <c r="AI107" s="312">
        <f>AI106+30</f>
        <v>47239</v>
      </c>
      <c r="AJ107" s="91">
        <f t="shared" si="73"/>
        <v>633749.06328474649</v>
      </c>
      <c r="AK107" s="93">
        <f t="shared" si="74"/>
        <v>387024.49357491371</v>
      </c>
      <c r="AL107" s="94">
        <f t="shared" si="75"/>
        <v>875177.27786941209</v>
      </c>
      <c r="AM107" s="102">
        <f t="shared" si="54"/>
        <v>2.2612968750000055</v>
      </c>
      <c r="AN107" s="235">
        <f t="shared" si="51"/>
        <v>0.56140350877192846</v>
      </c>
      <c r="AO107" s="388">
        <f t="shared" si="55"/>
        <v>1105.5602772192367</v>
      </c>
      <c r="AP107" s="389">
        <f t="shared" si="52"/>
        <v>36.852009240641223</v>
      </c>
    </row>
    <row r="108" spans="32:42" x14ac:dyDescent="0.35">
      <c r="AF108" s="230">
        <f t="shared" si="71"/>
        <v>102</v>
      </c>
      <c r="AG108" s="273">
        <f t="shared" si="72"/>
        <v>2029</v>
      </c>
      <c r="AH108" s="231" t="s">
        <v>113</v>
      </c>
      <c r="AI108" s="312">
        <f t="shared" si="76"/>
        <v>47270</v>
      </c>
      <c r="AJ108" s="91">
        <f t="shared" si="73"/>
        <v>635255.76522478182</v>
      </c>
      <c r="AK108" s="93">
        <f t="shared" si="74"/>
        <v>384913.80468416447</v>
      </c>
      <c r="AL108" s="94">
        <f t="shared" si="75"/>
        <v>877257.96150088939</v>
      </c>
      <c r="AM108" s="102">
        <f t="shared" si="54"/>
        <v>2.2791023622047302</v>
      </c>
      <c r="AN108" s="235">
        <f t="shared" si="51"/>
        <v>0.55701754385964775</v>
      </c>
      <c r="AO108" s="388">
        <f t="shared" si="55"/>
        <v>1096.9230875534615</v>
      </c>
      <c r="AP108" s="389">
        <f t="shared" si="52"/>
        <v>36.564102918448711</v>
      </c>
    </row>
    <row r="109" spans="32:42" x14ac:dyDescent="0.35">
      <c r="AF109" s="230">
        <f t="shared" si="71"/>
        <v>103</v>
      </c>
      <c r="AG109" s="270">
        <f t="shared" si="72"/>
        <v>2029</v>
      </c>
      <c r="AH109" s="231" t="s">
        <v>114</v>
      </c>
      <c r="AI109" s="312">
        <f>AI108+30</f>
        <v>47300</v>
      </c>
      <c r="AJ109" s="91">
        <f t="shared" si="73"/>
        <v>636762.46716481715</v>
      </c>
      <c r="AK109" s="93">
        <f t="shared" si="74"/>
        <v>382788.7387860876</v>
      </c>
      <c r="AL109" s="94">
        <f t="shared" si="75"/>
        <v>879338.64513236668</v>
      </c>
      <c r="AM109" s="102">
        <f t="shared" si="54"/>
        <v>2.2971904761904822</v>
      </c>
      <c r="AN109" s="235">
        <f t="shared" si="51"/>
        <v>0.55263157894736703</v>
      </c>
      <c r="AO109" s="388">
        <f t="shared" si="55"/>
        <v>1088.2858978876861</v>
      </c>
      <c r="AP109" s="389">
        <f t="shared" si="52"/>
        <v>36.276196596256199</v>
      </c>
    </row>
    <row r="110" spans="32:42" x14ac:dyDescent="0.35">
      <c r="AF110" s="230">
        <f t="shared" si="71"/>
        <v>104</v>
      </c>
      <c r="AG110" s="270">
        <f t="shared" si="72"/>
        <v>2029</v>
      </c>
      <c r="AH110" s="231" t="s">
        <v>115</v>
      </c>
      <c r="AI110" s="312">
        <f t="shared" si="76"/>
        <v>47331</v>
      </c>
      <c r="AJ110" s="91">
        <f t="shared" si="73"/>
        <v>638269.16910485236</v>
      </c>
      <c r="AK110" s="93">
        <f t="shared" si="74"/>
        <v>380649.29588068312</v>
      </c>
      <c r="AL110" s="94">
        <f t="shared" si="75"/>
        <v>881419.32876384398</v>
      </c>
      <c r="AM110" s="102">
        <f t="shared" si="54"/>
        <v>2.3155680000000061</v>
      </c>
      <c r="AN110" s="235">
        <f t="shared" si="51"/>
        <v>0.54824561403508631</v>
      </c>
      <c r="AO110" s="388">
        <f t="shared" si="55"/>
        <v>1079.6487082219107</v>
      </c>
      <c r="AP110" s="389">
        <f t="shared" si="52"/>
        <v>35.988290274063687</v>
      </c>
    </row>
    <row r="111" spans="32:42" x14ac:dyDescent="0.35">
      <c r="AF111" s="230">
        <f t="shared" si="71"/>
        <v>105</v>
      </c>
      <c r="AG111" s="270">
        <f t="shared" si="72"/>
        <v>2029</v>
      </c>
      <c r="AH111" s="231" t="s">
        <v>116</v>
      </c>
      <c r="AI111" s="312">
        <f t="shared" si="76"/>
        <v>47362</v>
      </c>
      <c r="AJ111" s="91">
        <f t="shared" si="73"/>
        <v>639775.87104488758</v>
      </c>
      <c r="AK111" s="93">
        <f t="shared" si="74"/>
        <v>378495.475967951</v>
      </c>
      <c r="AL111" s="94">
        <f t="shared" si="75"/>
        <v>883500.01239532128</v>
      </c>
      <c r="AM111" s="102">
        <f t="shared" si="54"/>
        <v>2.334241935483877</v>
      </c>
      <c r="AN111" s="235">
        <f t="shared" si="51"/>
        <v>0.5438596491228056</v>
      </c>
      <c r="AO111" s="388">
        <f t="shared" si="55"/>
        <v>1071.0115185561356</v>
      </c>
      <c r="AP111" s="389">
        <f t="shared" si="52"/>
        <v>35.700383951871181</v>
      </c>
    </row>
    <row r="112" spans="32:42" x14ac:dyDescent="0.35">
      <c r="AF112" s="230">
        <f t="shared" si="71"/>
        <v>106</v>
      </c>
      <c r="AG112" s="270">
        <f t="shared" si="72"/>
        <v>2029</v>
      </c>
      <c r="AH112" s="231" t="s">
        <v>117</v>
      </c>
      <c r="AI112" s="312">
        <f>AI111+30</f>
        <v>47392</v>
      </c>
      <c r="AJ112" s="91">
        <f t="shared" si="73"/>
        <v>641282.57298492291</v>
      </c>
      <c r="AK112" s="93">
        <f t="shared" si="74"/>
        <v>376327.27904789126</v>
      </c>
      <c r="AL112" s="94">
        <f t="shared" si="75"/>
        <v>885580.69602679857</v>
      </c>
      <c r="AM112" s="102">
        <f t="shared" si="54"/>
        <v>2.3532195121951283</v>
      </c>
      <c r="AN112" s="235">
        <f t="shared" si="51"/>
        <v>0.53947368421052488</v>
      </c>
      <c r="AO112" s="388">
        <f t="shared" si="55"/>
        <v>1062.3743288903602</v>
      </c>
      <c r="AP112" s="389">
        <f t="shared" si="52"/>
        <v>35.412477629678669</v>
      </c>
    </row>
    <row r="113" spans="32:42" x14ac:dyDescent="0.35">
      <c r="AF113" s="230">
        <f t="shared" si="71"/>
        <v>107</v>
      </c>
      <c r="AG113" s="270">
        <f t="shared" si="72"/>
        <v>2029</v>
      </c>
      <c r="AH113" s="231" t="s">
        <v>118</v>
      </c>
      <c r="AI113" s="312">
        <f t="shared" si="76"/>
        <v>47423</v>
      </c>
      <c r="AJ113" s="91">
        <f t="shared" si="73"/>
        <v>642789.27492495824</v>
      </c>
      <c r="AK113" s="93">
        <f t="shared" si="74"/>
        <v>374144.70512050384</v>
      </c>
      <c r="AL113" s="94">
        <f t="shared" si="75"/>
        <v>887661.37965827587</v>
      </c>
      <c r="AM113" s="102">
        <f t="shared" si="54"/>
        <v>2.3725081967213182</v>
      </c>
      <c r="AN113" s="235">
        <f t="shared" si="51"/>
        <v>0.53508771929824417</v>
      </c>
      <c r="AO113" s="388">
        <f t="shared" si="55"/>
        <v>1053.7371392245848</v>
      </c>
      <c r="AP113" s="389">
        <f t="shared" si="52"/>
        <v>35.124571307486157</v>
      </c>
    </row>
    <row r="114" spans="32:42" ht="15" thickBot="1" x14ac:dyDescent="0.4">
      <c r="AF114" s="236">
        <f t="shared" si="71"/>
        <v>108</v>
      </c>
      <c r="AG114" s="272">
        <f t="shared" si="72"/>
        <v>2029</v>
      </c>
      <c r="AH114" s="237" t="s">
        <v>119</v>
      </c>
      <c r="AI114" s="313">
        <f>AI113+30</f>
        <v>47453</v>
      </c>
      <c r="AJ114" s="238">
        <f t="shared" si="73"/>
        <v>644295.97686499357</v>
      </c>
      <c r="AK114" s="239">
        <f t="shared" si="74"/>
        <v>371947.75418578886</v>
      </c>
      <c r="AL114" s="240">
        <f t="shared" si="75"/>
        <v>889742.06328975316</v>
      </c>
      <c r="AM114" s="241">
        <f t="shared" si="54"/>
        <v>2.3921157024793454</v>
      </c>
      <c r="AN114" s="242">
        <f t="shared" si="51"/>
        <v>0.53070175438596345</v>
      </c>
      <c r="AO114" s="390">
        <f t="shared" si="55"/>
        <v>1045.0999495588096</v>
      </c>
      <c r="AP114" s="389">
        <f t="shared" si="52"/>
        <v>34.836664985293645</v>
      </c>
    </row>
    <row r="115" spans="32:42" x14ac:dyDescent="0.35">
      <c r="AF115" s="230">
        <f>AF114+1</f>
        <v>109</v>
      </c>
      <c r="AG115" s="269">
        <f>AG103+1</f>
        <v>2030</v>
      </c>
      <c r="AH115" s="243" t="s">
        <v>108</v>
      </c>
      <c r="AI115" s="314">
        <f>AI114+31</f>
        <v>47484</v>
      </c>
      <c r="AJ115" s="232">
        <f>AL103</f>
        <v>866854.54334350291</v>
      </c>
      <c r="AK115" s="93">
        <f>AL115/AM115</f>
        <v>496293.54514607752</v>
      </c>
      <c r="AL115" s="233">
        <f t="shared" ref="AL115" si="77">AJ115/$L$6*$M$6</f>
        <v>1197084.8455695997</v>
      </c>
      <c r="AM115" s="244">
        <f t="shared" si="54"/>
        <v>2.4120500000000069</v>
      </c>
      <c r="AN115" s="245">
        <f t="shared" si="51"/>
        <v>0.52631578947368274</v>
      </c>
      <c r="AO115" s="392">
        <f t="shared" si="55"/>
        <v>1036.462759893034</v>
      </c>
      <c r="AP115" s="398">
        <f t="shared" si="52"/>
        <v>34.548758663101133</v>
      </c>
    </row>
    <row r="116" spans="32:42" x14ac:dyDescent="0.35">
      <c r="AF116" s="230">
        <f t="shared" ref="AF116:AF126" si="78">AF115+1</f>
        <v>110</v>
      </c>
      <c r="AG116" s="269">
        <f>AG115</f>
        <v>2030</v>
      </c>
      <c r="AH116" s="243" t="s">
        <v>109</v>
      </c>
      <c r="AI116" s="314">
        <f>AI115+31</f>
        <v>47515</v>
      </c>
      <c r="AJ116" s="91">
        <f>AL116/$AL$6*$AJ$6</f>
        <v>868361.24528353813</v>
      </c>
      <c r="AK116" s="93">
        <f>AL116/AM116</f>
        <v>493013.19753918768</v>
      </c>
      <c r="AL116" s="94">
        <f>AL115+($AL$19-$AL$7)/12</f>
        <v>1199165.5292010768</v>
      </c>
      <c r="AM116" s="102">
        <f t="shared" si="54"/>
        <v>2.4323193277310997</v>
      </c>
      <c r="AN116" s="235">
        <f t="shared" si="51"/>
        <v>0.52192982456140202</v>
      </c>
      <c r="AO116" s="394">
        <f t="shared" si="55"/>
        <v>1027.8255702272586</v>
      </c>
      <c r="AP116" s="395">
        <f t="shared" si="52"/>
        <v>34.26085234090862</v>
      </c>
    </row>
    <row r="117" spans="32:42" x14ac:dyDescent="0.35">
      <c r="AF117" s="230">
        <f t="shared" si="78"/>
        <v>111</v>
      </c>
      <c r="AG117" s="270">
        <f t="shared" ref="AG117:AG126" si="79">AG116</f>
        <v>2030</v>
      </c>
      <c r="AH117" s="243" t="s">
        <v>110</v>
      </c>
      <c r="AI117" s="314">
        <f>AI116+28</f>
        <v>47543</v>
      </c>
      <c r="AJ117" s="91">
        <f t="shared" ref="AJ117:AJ126" si="80">AL117/$AL$6*$AJ$6</f>
        <v>869867.94722357334</v>
      </c>
      <c r="AK117" s="93">
        <f t="shared" ref="AK117:AK126" si="81">AL117/AM117</f>
        <v>489718.47292497027</v>
      </c>
      <c r="AL117" s="94">
        <f t="shared" ref="AL117:AL126" si="82">AL116+($AL$19-$AL$7)/12</f>
        <v>1201246.212832554</v>
      </c>
      <c r="AM117" s="102">
        <f t="shared" si="54"/>
        <v>2.452932203389838</v>
      </c>
      <c r="AN117" s="235">
        <f t="shared" si="51"/>
        <v>0.51754385964912131</v>
      </c>
      <c r="AO117" s="394">
        <f t="shared" si="55"/>
        <v>1019.1883805614833</v>
      </c>
      <c r="AP117" s="395">
        <f t="shared" si="52"/>
        <v>33.972946018716108</v>
      </c>
    </row>
    <row r="118" spans="32:42" x14ac:dyDescent="0.35">
      <c r="AF118" s="230">
        <f t="shared" si="78"/>
        <v>112</v>
      </c>
      <c r="AG118" s="270">
        <f t="shared" si="79"/>
        <v>2030</v>
      </c>
      <c r="AH118" s="243" t="s">
        <v>111</v>
      </c>
      <c r="AI118" s="314">
        <f>AI117+31</f>
        <v>47574</v>
      </c>
      <c r="AJ118" s="91">
        <f t="shared" si="80"/>
        <v>871374.64916360844</v>
      </c>
      <c r="AK118" s="93">
        <f t="shared" si="81"/>
        <v>486409.37130342523</v>
      </c>
      <c r="AL118" s="94">
        <f t="shared" si="82"/>
        <v>1203326.8964640312</v>
      </c>
      <c r="AM118" s="102">
        <f t="shared" si="54"/>
        <v>2.4738974358974435</v>
      </c>
      <c r="AN118" s="235">
        <f t="shared" si="51"/>
        <v>0.51315789473684059</v>
      </c>
      <c r="AO118" s="394">
        <f t="shared" si="55"/>
        <v>1010.551190895708</v>
      </c>
      <c r="AP118" s="395">
        <f t="shared" si="52"/>
        <v>33.685039696523596</v>
      </c>
    </row>
    <row r="119" spans="32:42" x14ac:dyDescent="0.35">
      <c r="AF119" s="230">
        <f t="shared" si="78"/>
        <v>113</v>
      </c>
      <c r="AG119" s="270">
        <f t="shared" si="79"/>
        <v>2030</v>
      </c>
      <c r="AH119" s="243" t="s">
        <v>112</v>
      </c>
      <c r="AI119" s="314">
        <f t="shared" ref="AI119:AI126" si="83">AI118+30</f>
        <v>47604</v>
      </c>
      <c r="AJ119" s="91">
        <f t="shared" si="80"/>
        <v>872881.35110364365</v>
      </c>
      <c r="AK119" s="93">
        <f t="shared" si="81"/>
        <v>483085.89267455257</v>
      </c>
      <c r="AL119" s="94">
        <f t="shared" si="82"/>
        <v>1205407.5800955084</v>
      </c>
      <c r="AM119" s="102">
        <f t="shared" si="54"/>
        <v>2.495224137931042</v>
      </c>
      <c r="AN119" s="235">
        <f t="shared" si="51"/>
        <v>0.50877192982455988</v>
      </c>
      <c r="AO119" s="394">
        <f t="shared" si="55"/>
        <v>1001.9140012299328</v>
      </c>
      <c r="AP119" s="395">
        <f t="shared" si="52"/>
        <v>33.397133374331091</v>
      </c>
    </row>
    <row r="120" spans="32:42" x14ac:dyDescent="0.35">
      <c r="AF120" s="230">
        <f t="shared" si="78"/>
        <v>114</v>
      </c>
      <c r="AG120" s="273">
        <f t="shared" si="79"/>
        <v>2030</v>
      </c>
      <c r="AH120" s="243" t="s">
        <v>113</v>
      </c>
      <c r="AI120" s="314">
        <f>AI119+31</f>
        <v>47635</v>
      </c>
      <c r="AJ120" s="91">
        <f t="shared" si="80"/>
        <v>874388.05304367887</v>
      </c>
      <c r="AK120" s="93">
        <f t="shared" si="81"/>
        <v>479748.03703835228</v>
      </c>
      <c r="AL120" s="94">
        <f t="shared" si="82"/>
        <v>1207488.2637269855</v>
      </c>
      <c r="AM120" s="102">
        <f t="shared" si="54"/>
        <v>2.5169217391304426</v>
      </c>
      <c r="AN120" s="235">
        <f t="shared" si="51"/>
        <v>0.50438596491227916</v>
      </c>
      <c r="AO120" s="394">
        <f t="shared" si="55"/>
        <v>993.27681156415747</v>
      </c>
      <c r="AP120" s="395">
        <f t="shared" si="52"/>
        <v>33.109227052138579</v>
      </c>
    </row>
    <row r="121" spans="32:42" x14ac:dyDescent="0.35">
      <c r="AF121" s="230">
        <f t="shared" si="78"/>
        <v>115</v>
      </c>
      <c r="AG121" s="270">
        <f t="shared" si="79"/>
        <v>2030</v>
      </c>
      <c r="AH121" s="243" t="s">
        <v>114</v>
      </c>
      <c r="AI121" s="314">
        <f t="shared" si="83"/>
        <v>47665</v>
      </c>
      <c r="AJ121" s="91">
        <f t="shared" si="80"/>
        <v>875894.75498371408</v>
      </c>
      <c r="AK121" s="93">
        <f t="shared" si="81"/>
        <v>476395.80439482426</v>
      </c>
      <c r="AL121" s="94">
        <f t="shared" si="82"/>
        <v>1209568.9473584627</v>
      </c>
      <c r="AM121" s="102">
        <f t="shared" si="54"/>
        <v>2.5390000000000081</v>
      </c>
      <c r="AN121" s="235">
        <f t="shared" si="51"/>
        <v>0.49999999999999845</v>
      </c>
      <c r="AO121" s="394">
        <f t="shared" si="55"/>
        <v>984.63962189838207</v>
      </c>
      <c r="AP121" s="395">
        <f t="shared" si="52"/>
        <v>32.821320729946066</v>
      </c>
    </row>
    <row r="122" spans="32:42" x14ac:dyDescent="0.35">
      <c r="AF122" s="230">
        <f t="shared" si="78"/>
        <v>116</v>
      </c>
      <c r="AG122" s="270">
        <f t="shared" si="79"/>
        <v>2030</v>
      </c>
      <c r="AH122" s="243" t="s">
        <v>115</v>
      </c>
      <c r="AI122" s="314">
        <f>AI121+31</f>
        <v>47696</v>
      </c>
      <c r="AJ122" s="91">
        <f t="shared" si="80"/>
        <v>877401.4569237493</v>
      </c>
      <c r="AK122" s="93">
        <f t="shared" si="81"/>
        <v>473029.19474396872</v>
      </c>
      <c r="AL122" s="94">
        <f t="shared" si="82"/>
        <v>1211649.6309899399</v>
      </c>
      <c r="AM122" s="102">
        <f t="shared" si="54"/>
        <v>2.5614690265486808</v>
      </c>
      <c r="AN122" s="235">
        <f t="shared" si="51"/>
        <v>0.49561403508771773</v>
      </c>
      <c r="AO122" s="394">
        <f t="shared" si="55"/>
        <v>976.00243223260679</v>
      </c>
      <c r="AP122" s="395">
        <f t="shared" si="52"/>
        <v>32.533414407753554</v>
      </c>
    </row>
    <row r="123" spans="32:42" x14ac:dyDescent="0.35">
      <c r="AF123" s="230">
        <f t="shared" si="78"/>
        <v>117</v>
      </c>
      <c r="AG123" s="270">
        <f t="shared" si="79"/>
        <v>2030</v>
      </c>
      <c r="AH123" s="243" t="s">
        <v>116</v>
      </c>
      <c r="AI123" s="314">
        <f>AI122+31</f>
        <v>47727</v>
      </c>
      <c r="AJ123" s="91">
        <f t="shared" si="80"/>
        <v>878908.15886378451</v>
      </c>
      <c r="AK123" s="93">
        <f t="shared" si="81"/>
        <v>469648.20808578545</v>
      </c>
      <c r="AL123" s="94">
        <f t="shared" si="82"/>
        <v>1213730.3146214171</v>
      </c>
      <c r="AM123" s="102">
        <f t="shared" si="54"/>
        <v>2.5843392857142944</v>
      </c>
      <c r="AN123" s="235">
        <f t="shared" si="51"/>
        <v>0.49122807017543701</v>
      </c>
      <c r="AO123" s="394">
        <f t="shared" si="55"/>
        <v>967.36524256683128</v>
      </c>
      <c r="AP123" s="395">
        <f t="shared" si="52"/>
        <v>32.245508085561042</v>
      </c>
    </row>
    <row r="124" spans="32:42" x14ac:dyDescent="0.35">
      <c r="AF124" s="230">
        <f t="shared" si="78"/>
        <v>118</v>
      </c>
      <c r="AG124" s="270">
        <f t="shared" si="79"/>
        <v>2030</v>
      </c>
      <c r="AH124" s="243" t="s">
        <v>117</v>
      </c>
      <c r="AI124" s="314">
        <f t="shared" si="83"/>
        <v>47757</v>
      </c>
      <c r="AJ124" s="91">
        <f t="shared" si="80"/>
        <v>880414.86080381973</v>
      </c>
      <c r="AK124" s="93">
        <f t="shared" si="81"/>
        <v>466252.84442027466</v>
      </c>
      <c r="AL124" s="94">
        <f t="shared" si="82"/>
        <v>1215810.9982528943</v>
      </c>
      <c r="AM124" s="102">
        <f t="shared" si="54"/>
        <v>2.6076216216216301</v>
      </c>
      <c r="AN124" s="235">
        <f t="shared" si="51"/>
        <v>0.4868421052631563</v>
      </c>
      <c r="AO124" s="394">
        <f t="shared" si="55"/>
        <v>958.72805290105612</v>
      </c>
      <c r="AP124" s="395">
        <f t="shared" si="52"/>
        <v>31.957601763368537</v>
      </c>
    </row>
    <row r="125" spans="32:42" x14ac:dyDescent="0.35">
      <c r="AF125" s="230">
        <f t="shared" si="78"/>
        <v>119</v>
      </c>
      <c r="AG125" s="270">
        <f t="shared" si="79"/>
        <v>2030</v>
      </c>
      <c r="AH125" s="243" t="s">
        <v>118</v>
      </c>
      <c r="AI125" s="314">
        <f>AI124+31</f>
        <v>47788</v>
      </c>
      <c r="AJ125" s="91">
        <f t="shared" si="80"/>
        <v>881921.56274385494</v>
      </c>
      <c r="AK125" s="93">
        <f t="shared" si="81"/>
        <v>462843.10374743614</v>
      </c>
      <c r="AL125" s="94">
        <f t="shared" si="82"/>
        <v>1217891.6818843714</v>
      </c>
      <c r="AM125" s="102">
        <f t="shared" si="54"/>
        <v>2.6313272727272818</v>
      </c>
      <c r="AN125" s="235">
        <f t="shared" si="51"/>
        <v>0.48245614035087558</v>
      </c>
      <c r="AO125" s="394">
        <f t="shared" si="55"/>
        <v>950.09086323528072</v>
      </c>
      <c r="AP125" s="395">
        <f t="shared" si="52"/>
        <v>31.669695441176021</v>
      </c>
    </row>
    <row r="126" spans="32:42" ht="15" thickBot="1" x14ac:dyDescent="0.4">
      <c r="AF126" s="236">
        <f t="shared" si="78"/>
        <v>120</v>
      </c>
      <c r="AG126" s="272">
        <f t="shared" si="79"/>
        <v>2030</v>
      </c>
      <c r="AH126" s="246" t="s">
        <v>119</v>
      </c>
      <c r="AI126" s="315">
        <f t="shared" si="83"/>
        <v>47818</v>
      </c>
      <c r="AJ126" s="238">
        <f t="shared" si="80"/>
        <v>883428.26468389016</v>
      </c>
      <c r="AK126" s="239">
        <f t="shared" si="81"/>
        <v>459418.98606727005</v>
      </c>
      <c r="AL126" s="240">
        <f t="shared" si="82"/>
        <v>1219972.3655158486</v>
      </c>
      <c r="AM126" s="241">
        <f t="shared" si="54"/>
        <v>2.655467889908266</v>
      </c>
      <c r="AN126" s="242">
        <f t="shared" si="51"/>
        <v>0.47807017543859487</v>
      </c>
      <c r="AO126" s="396">
        <f t="shared" si="55"/>
        <v>941.45367356950544</v>
      </c>
      <c r="AP126" s="395">
        <f t="shared" si="52"/>
        <v>31.381789118983512</v>
      </c>
    </row>
    <row r="127" spans="32:42" x14ac:dyDescent="0.35">
      <c r="AF127" s="230">
        <f>AF126+1</f>
        <v>121</v>
      </c>
      <c r="AG127" s="269">
        <f>AG115+1</f>
        <v>2031</v>
      </c>
      <c r="AH127" s="231" t="s">
        <v>108</v>
      </c>
      <c r="AI127" s="312">
        <v>47849</v>
      </c>
      <c r="AJ127" s="232">
        <f>AL115</f>
        <v>1197084.8455695997</v>
      </c>
      <c r="AK127" s="93">
        <f>AL127/AM127</f>
        <v>616821.97753869614</v>
      </c>
      <c r="AL127" s="233">
        <f t="shared" ref="AL127" si="84">AJ127/$L$6*$M$6</f>
        <v>1653117.1676913525</v>
      </c>
      <c r="AM127" s="244">
        <f t="shared" si="54"/>
        <v>2.680055555555565</v>
      </c>
      <c r="AN127" s="245">
        <f t="shared" si="51"/>
        <v>0.47368421052631415</v>
      </c>
      <c r="AO127" s="386">
        <f t="shared" si="55"/>
        <v>932.81648390373005</v>
      </c>
      <c r="AP127" s="397">
        <f t="shared" si="52"/>
        <v>31.093882796791</v>
      </c>
    </row>
    <row r="128" spans="32:42" x14ac:dyDescent="0.35">
      <c r="AF128" s="230">
        <f t="shared" ref="AF128:AF138" si="85">AF127+1</f>
        <v>122</v>
      </c>
      <c r="AG128" s="269">
        <f>AG127</f>
        <v>2031</v>
      </c>
      <c r="AH128" s="231" t="s">
        <v>109</v>
      </c>
      <c r="AI128" s="312">
        <f>AI127+31</f>
        <v>47880</v>
      </c>
      <c r="AJ128" s="91">
        <f>AL128/$AL$6*$AJ$6</f>
        <v>1198591.5475096349</v>
      </c>
      <c r="AK128" s="93">
        <f>AL128/AM128</f>
        <v>611879.83282388467</v>
      </c>
      <c r="AL128" s="94">
        <f>AL127+($AL$19-$AL$7)/12</f>
        <v>1655197.8513228297</v>
      </c>
      <c r="AM128" s="102">
        <f t="shared" si="54"/>
        <v>2.7051028037383276</v>
      </c>
      <c r="AN128" s="235">
        <f t="shared" si="51"/>
        <v>0.46929824561403344</v>
      </c>
      <c r="AO128" s="388">
        <f t="shared" si="55"/>
        <v>924.17929423795465</v>
      </c>
      <c r="AP128" s="389">
        <f t="shared" si="52"/>
        <v>30.805976474598488</v>
      </c>
    </row>
    <row r="129" spans="32:42" x14ac:dyDescent="0.35">
      <c r="AF129" s="230">
        <f t="shared" si="85"/>
        <v>123</v>
      </c>
      <c r="AG129" s="270">
        <f t="shared" ref="AG129:AG138" si="86">AG128</f>
        <v>2031</v>
      </c>
      <c r="AH129" s="231" t="s">
        <v>110</v>
      </c>
      <c r="AI129" s="312">
        <f>AI128+28</f>
        <v>47908</v>
      </c>
      <c r="AJ129" s="91">
        <f t="shared" ref="AJ129:AJ138" si="87">AL129/$AL$6*$AJ$6</f>
        <v>1200098.2494496701</v>
      </c>
      <c r="AK129" s="93">
        <f t="shared" ref="AK129:AK138" si="88">AL129/AM129</f>
        <v>606923.31110174581</v>
      </c>
      <c r="AL129" s="94">
        <f t="shared" ref="AL129:AL138" si="89">AL128+($AL$19-$AL$7)/12</f>
        <v>1657278.5349543069</v>
      </c>
      <c r="AM129" s="102">
        <f t="shared" si="54"/>
        <v>2.7306226415094437</v>
      </c>
      <c r="AN129" s="235">
        <f t="shared" si="51"/>
        <v>0.46491228070175272</v>
      </c>
      <c r="AO129" s="388">
        <f t="shared" si="55"/>
        <v>915.54210457217948</v>
      </c>
      <c r="AP129" s="389">
        <f t="shared" si="52"/>
        <v>30.518070152405979</v>
      </c>
    </row>
    <row r="130" spans="32:42" x14ac:dyDescent="0.35">
      <c r="AF130" s="230">
        <f t="shared" si="85"/>
        <v>124</v>
      </c>
      <c r="AG130" s="270">
        <f t="shared" si="86"/>
        <v>2031</v>
      </c>
      <c r="AH130" s="231" t="s">
        <v>111</v>
      </c>
      <c r="AI130" s="312">
        <f t="shared" ref="AI130:AI137" si="90">AI129+31</f>
        <v>47939</v>
      </c>
      <c r="AJ130" s="91">
        <f t="shared" si="87"/>
        <v>1201604.9513897053</v>
      </c>
      <c r="AK130" s="93">
        <f t="shared" si="88"/>
        <v>601952.4123722791</v>
      </c>
      <c r="AL130" s="94">
        <f t="shared" si="89"/>
        <v>1659359.2185857841</v>
      </c>
      <c r="AM130" s="102">
        <f t="shared" si="54"/>
        <v>2.7566285714285814</v>
      </c>
      <c r="AN130" s="235">
        <f t="shared" si="51"/>
        <v>0.46052631578947201</v>
      </c>
      <c r="AO130" s="388">
        <f t="shared" si="55"/>
        <v>906.90491490640409</v>
      </c>
      <c r="AP130" s="389">
        <f t="shared" si="52"/>
        <v>30.230163830213471</v>
      </c>
    </row>
    <row r="131" spans="32:42" x14ac:dyDescent="0.35">
      <c r="AF131" s="230">
        <f t="shared" si="85"/>
        <v>125</v>
      </c>
      <c r="AG131" s="270">
        <f t="shared" si="86"/>
        <v>2031</v>
      </c>
      <c r="AH131" s="231" t="s">
        <v>112</v>
      </c>
      <c r="AI131" s="312">
        <f>AI130+30</f>
        <v>47969</v>
      </c>
      <c r="AJ131" s="91">
        <f t="shared" si="87"/>
        <v>1203111.6533297405</v>
      </c>
      <c r="AK131" s="93">
        <f t="shared" si="88"/>
        <v>596967.13663548476</v>
      </c>
      <c r="AL131" s="94">
        <f t="shared" si="89"/>
        <v>1661439.9022172613</v>
      </c>
      <c r="AM131" s="102">
        <f t="shared" si="54"/>
        <v>2.7831346153846259</v>
      </c>
      <c r="AN131" s="235">
        <f t="shared" si="51"/>
        <v>0.45614035087719129</v>
      </c>
      <c r="AO131" s="388">
        <f t="shared" si="55"/>
        <v>898.26772524062869</v>
      </c>
      <c r="AP131" s="389">
        <f t="shared" si="52"/>
        <v>29.942257508020955</v>
      </c>
    </row>
    <row r="132" spans="32:42" x14ac:dyDescent="0.35">
      <c r="AF132" s="230">
        <f t="shared" si="85"/>
        <v>126</v>
      </c>
      <c r="AG132" s="273">
        <f t="shared" si="86"/>
        <v>2031</v>
      </c>
      <c r="AH132" s="231" t="s">
        <v>113</v>
      </c>
      <c r="AI132" s="312">
        <f t="shared" si="90"/>
        <v>48000</v>
      </c>
      <c r="AJ132" s="91">
        <f t="shared" si="87"/>
        <v>1204618.3552697757</v>
      </c>
      <c r="AK132" s="93">
        <f t="shared" si="88"/>
        <v>591967.48389136291</v>
      </c>
      <c r="AL132" s="94">
        <f t="shared" si="89"/>
        <v>1663520.5858487384</v>
      </c>
      <c r="AM132" s="102">
        <f t="shared" si="54"/>
        <v>2.8101553398058359</v>
      </c>
      <c r="AN132" s="235">
        <f t="shared" si="51"/>
        <v>0.45175438596491058</v>
      </c>
      <c r="AO132" s="388">
        <f t="shared" si="55"/>
        <v>889.63053557485341</v>
      </c>
      <c r="AP132" s="389">
        <f t="shared" si="52"/>
        <v>29.654351185828446</v>
      </c>
    </row>
    <row r="133" spans="32:42" x14ac:dyDescent="0.35">
      <c r="AF133" s="230">
        <f t="shared" si="85"/>
        <v>127</v>
      </c>
      <c r="AG133" s="270">
        <f t="shared" si="86"/>
        <v>2031</v>
      </c>
      <c r="AH133" s="231" t="s">
        <v>114</v>
      </c>
      <c r="AI133" s="312">
        <f>AI132+30</f>
        <v>48030</v>
      </c>
      <c r="AJ133" s="91">
        <f t="shared" si="87"/>
        <v>1206125.0572098109</v>
      </c>
      <c r="AK133" s="93">
        <f t="shared" si="88"/>
        <v>586953.45413991332</v>
      </c>
      <c r="AL133" s="94">
        <f t="shared" si="89"/>
        <v>1665601.2694802156</v>
      </c>
      <c r="AM133" s="102">
        <f t="shared" si="54"/>
        <v>2.8377058823529522</v>
      </c>
      <c r="AN133" s="235">
        <f t="shared" si="51"/>
        <v>0.44736842105262986</v>
      </c>
      <c r="AO133" s="388">
        <f t="shared" si="55"/>
        <v>880.99334590907802</v>
      </c>
      <c r="AP133" s="389">
        <f t="shared" si="52"/>
        <v>29.366444863635934</v>
      </c>
    </row>
    <row r="134" spans="32:42" x14ac:dyDescent="0.35">
      <c r="AF134" s="230">
        <f t="shared" si="85"/>
        <v>128</v>
      </c>
      <c r="AG134" s="270">
        <f t="shared" si="86"/>
        <v>2031</v>
      </c>
      <c r="AH134" s="231" t="s">
        <v>115</v>
      </c>
      <c r="AI134" s="312">
        <f t="shared" si="90"/>
        <v>48061</v>
      </c>
      <c r="AJ134" s="91">
        <f t="shared" si="87"/>
        <v>1207631.7591498462</v>
      </c>
      <c r="AK134" s="93">
        <f t="shared" si="88"/>
        <v>581925.0473811361</v>
      </c>
      <c r="AL134" s="94">
        <f t="shared" si="89"/>
        <v>1667681.9531116928</v>
      </c>
      <c r="AM134" s="102">
        <f t="shared" si="54"/>
        <v>2.865801980198031</v>
      </c>
      <c r="AN134" s="235">
        <f t="shared" si="51"/>
        <v>0.44298245614034915</v>
      </c>
      <c r="AO134" s="388">
        <f t="shared" si="55"/>
        <v>872.35615624330273</v>
      </c>
      <c r="AP134" s="389">
        <f t="shared" si="52"/>
        <v>29.078538541443425</v>
      </c>
    </row>
    <row r="135" spans="32:42" x14ac:dyDescent="0.35">
      <c r="AF135" s="230">
        <f t="shared" si="85"/>
        <v>129</v>
      </c>
      <c r="AG135" s="270">
        <f t="shared" si="86"/>
        <v>2031</v>
      </c>
      <c r="AH135" s="231" t="s">
        <v>116</v>
      </c>
      <c r="AI135" s="312">
        <f t="shared" si="90"/>
        <v>48092</v>
      </c>
      <c r="AJ135" s="91">
        <f t="shared" si="87"/>
        <v>1209138.4610898814</v>
      </c>
      <c r="AK135" s="93">
        <f t="shared" si="88"/>
        <v>576882.26361503126</v>
      </c>
      <c r="AL135" s="94">
        <f t="shared" si="89"/>
        <v>1669762.63674317</v>
      </c>
      <c r="AM135" s="102">
        <f t="shared" si="54"/>
        <v>2.8944600000000116</v>
      </c>
      <c r="AN135" s="235">
        <f t="shared" si="51"/>
        <v>0.43859649122806843</v>
      </c>
      <c r="AO135" s="388">
        <f t="shared" si="55"/>
        <v>863.71896657752745</v>
      </c>
      <c r="AP135" s="389">
        <f t="shared" si="52"/>
        <v>28.790632219250913</v>
      </c>
    </row>
    <row r="136" spans="32:42" x14ac:dyDescent="0.35">
      <c r="AF136" s="230">
        <f t="shared" si="85"/>
        <v>130</v>
      </c>
      <c r="AG136" s="270">
        <f t="shared" si="86"/>
        <v>2031</v>
      </c>
      <c r="AH136" s="231" t="s">
        <v>117</v>
      </c>
      <c r="AI136" s="312">
        <f>AI135+30</f>
        <v>48122</v>
      </c>
      <c r="AJ136" s="91">
        <f t="shared" si="87"/>
        <v>1210645.1630299166</v>
      </c>
      <c r="AK136" s="93">
        <f t="shared" si="88"/>
        <v>571825.10284159868</v>
      </c>
      <c r="AL136" s="94">
        <f t="shared" si="89"/>
        <v>1671843.3203746472</v>
      </c>
      <c r="AM136" s="102">
        <f t="shared" si="54"/>
        <v>2.9236969696969819</v>
      </c>
      <c r="AN136" s="235">
        <f t="shared" ref="AN136:AN199" si="91">AN135-($P$7-$P$8)/12</f>
        <v>0.43421052631578771</v>
      </c>
      <c r="AO136" s="388">
        <f t="shared" si="55"/>
        <v>855.08177691175194</v>
      </c>
      <c r="AP136" s="389">
        <f t="shared" ref="AP136:AP199" si="92">$AP$6/AM136</f>
        <v>28.502725897058397</v>
      </c>
    </row>
    <row r="137" spans="32:42" x14ac:dyDescent="0.35">
      <c r="AF137" s="230">
        <f t="shared" si="85"/>
        <v>131</v>
      </c>
      <c r="AG137" s="270">
        <f t="shared" si="86"/>
        <v>2031</v>
      </c>
      <c r="AH137" s="231" t="s">
        <v>118</v>
      </c>
      <c r="AI137" s="312">
        <f t="shared" si="90"/>
        <v>48153</v>
      </c>
      <c r="AJ137" s="91">
        <f t="shared" si="87"/>
        <v>1212151.8649699518</v>
      </c>
      <c r="AK137" s="93">
        <f t="shared" si="88"/>
        <v>566753.56506083871</v>
      </c>
      <c r="AL137" s="94">
        <f t="shared" si="89"/>
        <v>1673924.0040061243</v>
      </c>
      <c r="AM137" s="102">
        <f t="shared" ref="AM137:AM200" si="93">$O$6/AN137</f>
        <v>2.9535306122449101</v>
      </c>
      <c r="AN137" s="235">
        <f t="shared" si="91"/>
        <v>0.429824561403507</v>
      </c>
      <c r="AO137" s="388">
        <f t="shared" ref="AO137:AO200" si="94">$AO$6/AM137</f>
        <v>846.44458724597678</v>
      </c>
      <c r="AP137" s="389">
        <f t="shared" si="92"/>
        <v>28.214819574865892</v>
      </c>
    </row>
    <row r="138" spans="32:42" ht="15" thickBot="1" x14ac:dyDescent="0.4">
      <c r="AF138" s="236">
        <f t="shared" si="85"/>
        <v>132</v>
      </c>
      <c r="AG138" s="272">
        <f t="shared" si="86"/>
        <v>2031</v>
      </c>
      <c r="AH138" s="237" t="s">
        <v>119</v>
      </c>
      <c r="AI138" s="313">
        <f>AI137+30</f>
        <v>48183</v>
      </c>
      <c r="AJ138" s="238">
        <f t="shared" si="87"/>
        <v>1213658.566909987</v>
      </c>
      <c r="AK138" s="239">
        <f t="shared" si="88"/>
        <v>561667.65027275088</v>
      </c>
      <c r="AL138" s="240">
        <f t="shared" si="89"/>
        <v>1676004.6876376015</v>
      </c>
      <c r="AM138" s="241">
        <f t="shared" si="93"/>
        <v>2.9839793814433118</v>
      </c>
      <c r="AN138" s="242">
        <f t="shared" si="91"/>
        <v>0.42543859649122628</v>
      </c>
      <c r="AO138" s="390">
        <f t="shared" si="94"/>
        <v>837.80739758020138</v>
      </c>
      <c r="AP138" s="389">
        <f t="shared" si="92"/>
        <v>27.926913252673376</v>
      </c>
    </row>
    <row r="139" spans="32:42" x14ac:dyDescent="0.35">
      <c r="AF139" s="230">
        <f>AF138+1</f>
        <v>133</v>
      </c>
      <c r="AG139" s="269">
        <f>AG127+1</f>
        <v>2032</v>
      </c>
      <c r="AH139" s="243" t="s">
        <v>108</v>
      </c>
      <c r="AI139" s="314">
        <f>AI138+31</f>
        <v>48214</v>
      </c>
      <c r="AJ139" s="232">
        <f>AL127</f>
        <v>1653117.1676913525</v>
      </c>
      <c r="AK139" s="93">
        <f>AL139/AM139</f>
        <v>757157.13644961605</v>
      </c>
      <c r="AL139" s="233">
        <f t="shared" ref="AL139" si="95">AJ139/$L$6*$M$6</f>
        <v>2282876.0887166304</v>
      </c>
      <c r="AM139" s="244">
        <f t="shared" si="93"/>
        <v>3.0150625000000129</v>
      </c>
      <c r="AN139" s="245">
        <f t="shared" si="91"/>
        <v>0.42105263157894557</v>
      </c>
      <c r="AO139" s="392">
        <f t="shared" si="94"/>
        <v>829.1702079144261</v>
      </c>
      <c r="AP139" s="398">
        <f t="shared" si="92"/>
        <v>27.639006930480868</v>
      </c>
    </row>
    <row r="140" spans="32:42" x14ac:dyDescent="0.35">
      <c r="AF140" s="230">
        <f t="shared" ref="AF140:AF150" si="96">AF139+1</f>
        <v>134</v>
      </c>
      <c r="AG140" s="269">
        <f>AG139</f>
        <v>2032</v>
      </c>
      <c r="AH140" s="243" t="s">
        <v>109</v>
      </c>
      <c r="AI140" s="314">
        <f>AI139+31</f>
        <v>48245</v>
      </c>
      <c r="AJ140" s="91">
        <f>AL140/$AL$6*$AJ$6</f>
        <v>1654623.8696313878</v>
      </c>
      <c r="AK140" s="93">
        <f>AL140/AM140</f>
        <v>749952.9907929952</v>
      </c>
      <c r="AL140" s="94">
        <f>AL139+($AL$19-$AL$7)/12</f>
        <v>2284956.7723481078</v>
      </c>
      <c r="AM140" s="102">
        <f t="shared" si="93"/>
        <v>3.0468000000000135</v>
      </c>
      <c r="AN140" s="235">
        <f t="shared" si="91"/>
        <v>0.41666666666666485</v>
      </c>
      <c r="AO140" s="394">
        <f t="shared" si="94"/>
        <v>820.53301824865071</v>
      </c>
      <c r="AP140" s="395">
        <f t="shared" si="92"/>
        <v>27.351100608288355</v>
      </c>
    </row>
    <row r="141" spans="32:42" x14ac:dyDescent="0.35">
      <c r="AF141" s="230">
        <f t="shared" si="96"/>
        <v>135</v>
      </c>
      <c r="AG141" s="270">
        <f t="shared" ref="AG141:AG150" si="97">AG140</f>
        <v>2032</v>
      </c>
      <c r="AH141" s="243" t="s">
        <v>110</v>
      </c>
      <c r="AI141" s="314">
        <f>AI140+29</f>
        <v>48274</v>
      </c>
      <c r="AJ141" s="91">
        <f t="shared" ref="AJ141:AJ150" si="98">AL141/$AL$6*$AJ$6</f>
        <v>1656130.5715714232</v>
      </c>
      <c r="AK141" s="93">
        <f t="shared" ref="AK141:AK150" si="99">AL141/AM141</f>
        <v>742734.46812904673</v>
      </c>
      <c r="AL141" s="94">
        <f t="shared" ref="AL141:AL150" si="100">AL140+($AL$19-$AL$7)/12</f>
        <v>2287037.4559795852</v>
      </c>
      <c r="AM141" s="102">
        <f t="shared" si="93"/>
        <v>3.0792127659574606</v>
      </c>
      <c r="AN141" s="235">
        <f t="shared" si="91"/>
        <v>0.41228070175438414</v>
      </c>
      <c r="AO141" s="394">
        <f t="shared" si="94"/>
        <v>811.89582858287542</v>
      </c>
      <c r="AP141" s="395">
        <f t="shared" si="92"/>
        <v>27.063194286095843</v>
      </c>
    </row>
    <row r="142" spans="32:42" x14ac:dyDescent="0.35">
      <c r="AF142" s="230">
        <f t="shared" si="96"/>
        <v>136</v>
      </c>
      <c r="AG142" s="270">
        <f t="shared" si="97"/>
        <v>2032</v>
      </c>
      <c r="AH142" s="243" t="s">
        <v>111</v>
      </c>
      <c r="AI142" s="314">
        <f>AI141+31</f>
        <v>48305</v>
      </c>
      <c r="AJ142" s="91">
        <f t="shared" si="98"/>
        <v>1657637.2735114587</v>
      </c>
      <c r="AK142" s="93">
        <f t="shared" si="99"/>
        <v>735501.56845777063</v>
      </c>
      <c r="AL142" s="94">
        <f t="shared" si="100"/>
        <v>2289118.1396110626</v>
      </c>
      <c r="AM142" s="102">
        <f t="shared" si="93"/>
        <v>3.1123225806451753</v>
      </c>
      <c r="AN142" s="235">
        <f t="shared" si="91"/>
        <v>0.40789473684210342</v>
      </c>
      <c r="AO142" s="394">
        <f t="shared" si="94"/>
        <v>803.25863891710014</v>
      </c>
      <c r="AP142" s="395">
        <f t="shared" si="92"/>
        <v>26.775287963903335</v>
      </c>
    </row>
    <row r="143" spans="32:42" x14ac:dyDescent="0.35">
      <c r="AF143" s="230">
        <f t="shared" si="96"/>
        <v>137</v>
      </c>
      <c r="AG143" s="270">
        <f t="shared" si="97"/>
        <v>2032</v>
      </c>
      <c r="AH143" s="243" t="s">
        <v>112</v>
      </c>
      <c r="AI143" s="314">
        <f t="shared" ref="AI143:AI150" si="101">AI142+30</f>
        <v>48335</v>
      </c>
      <c r="AJ143" s="91">
        <f t="shared" si="98"/>
        <v>1659143.9754514941</v>
      </c>
      <c r="AK143" s="93">
        <f t="shared" si="99"/>
        <v>728254.29177916679</v>
      </c>
      <c r="AL143" s="94">
        <f t="shared" si="100"/>
        <v>2291198.82324254</v>
      </c>
      <c r="AM143" s="102">
        <f t="shared" si="93"/>
        <v>3.146152173913058</v>
      </c>
      <c r="AN143" s="235">
        <f t="shared" si="91"/>
        <v>0.40350877192982271</v>
      </c>
      <c r="AO143" s="394">
        <f t="shared" si="94"/>
        <v>794.62144925132475</v>
      </c>
      <c r="AP143" s="395">
        <f t="shared" si="92"/>
        <v>26.487381641710822</v>
      </c>
    </row>
    <row r="144" spans="32:42" x14ac:dyDescent="0.35">
      <c r="AF144" s="230">
        <f t="shared" si="96"/>
        <v>138</v>
      </c>
      <c r="AG144" s="273">
        <f t="shared" si="97"/>
        <v>2032</v>
      </c>
      <c r="AH144" s="243" t="s">
        <v>113</v>
      </c>
      <c r="AI144" s="314">
        <f>AI143+31</f>
        <v>48366</v>
      </c>
      <c r="AJ144" s="91">
        <f t="shared" si="98"/>
        <v>1660650.6773915295</v>
      </c>
      <c r="AK144" s="93">
        <f t="shared" si="99"/>
        <v>720992.63809323532</v>
      </c>
      <c r="AL144" s="94">
        <f t="shared" si="100"/>
        <v>2293279.5068740174</v>
      </c>
      <c r="AM144" s="102">
        <f t="shared" si="93"/>
        <v>3.1807252747252899</v>
      </c>
      <c r="AN144" s="235">
        <f t="shared" si="91"/>
        <v>0.39912280701754199</v>
      </c>
      <c r="AO144" s="394">
        <f t="shared" si="94"/>
        <v>785.98425958554935</v>
      </c>
      <c r="AP144" s="395">
        <f t="shared" si="92"/>
        <v>26.19947531951831</v>
      </c>
    </row>
    <row r="145" spans="32:42" x14ac:dyDescent="0.35">
      <c r="AF145" s="230">
        <f t="shared" si="96"/>
        <v>139</v>
      </c>
      <c r="AG145" s="270">
        <f t="shared" si="97"/>
        <v>2032</v>
      </c>
      <c r="AH145" s="243" t="s">
        <v>114</v>
      </c>
      <c r="AI145" s="314">
        <f t="shared" si="101"/>
        <v>48396</v>
      </c>
      <c r="AJ145" s="91">
        <f t="shared" si="98"/>
        <v>1662157.3793315648</v>
      </c>
      <c r="AK145" s="93">
        <f t="shared" si="99"/>
        <v>713716.60739997623</v>
      </c>
      <c r="AL145" s="94">
        <f t="shared" si="100"/>
        <v>2295360.1905054948</v>
      </c>
      <c r="AM145" s="102">
        <f t="shared" si="93"/>
        <v>3.2160666666666824</v>
      </c>
      <c r="AN145" s="235">
        <f t="shared" si="91"/>
        <v>0.39473684210526128</v>
      </c>
      <c r="AO145" s="394">
        <f t="shared" si="94"/>
        <v>777.34706991977396</v>
      </c>
      <c r="AP145" s="395">
        <f t="shared" si="92"/>
        <v>25.911568997325798</v>
      </c>
    </row>
    <row r="146" spans="32:42" x14ac:dyDescent="0.35">
      <c r="AF146" s="230">
        <f t="shared" si="96"/>
        <v>140</v>
      </c>
      <c r="AG146" s="270">
        <f t="shared" si="97"/>
        <v>2032</v>
      </c>
      <c r="AH146" s="243" t="s">
        <v>115</v>
      </c>
      <c r="AI146" s="314">
        <f>AI145+31</f>
        <v>48427</v>
      </c>
      <c r="AJ146" s="91">
        <f t="shared" si="98"/>
        <v>1663664.0812716</v>
      </c>
      <c r="AK146" s="93">
        <f t="shared" si="99"/>
        <v>706426.19969938963</v>
      </c>
      <c r="AL146" s="94">
        <f t="shared" si="100"/>
        <v>2297440.8741369722</v>
      </c>
      <c r="AM146" s="102">
        <f t="shared" si="93"/>
        <v>3.2522022471910272</v>
      </c>
      <c r="AN146" s="235">
        <f t="shared" si="91"/>
        <v>0.39035087719298056</v>
      </c>
      <c r="AO146" s="394">
        <f t="shared" si="94"/>
        <v>768.70988025399868</v>
      </c>
      <c r="AP146" s="395">
        <f t="shared" si="92"/>
        <v>25.623662675133289</v>
      </c>
    </row>
    <row r="147" spans="32:42" x14ac:dyDescent="0.35">
      <c r="AF147" s="230">
        <f t="shared" si="96"/>
        <v>141</v>
      </c>
      <c r="AG147" s="270">
        <f t="shared" si="97"/>
        <v>2032</v>
      </c>
      <c r="AH147" s="243" t="s">
        <v>116</v>
      </c>
      <c r="AI147" s="314">
        <f>AI146+31</f>
        <v>48458</v>
      </c>
      <c r="AJ147" s="91">
        <f t="shared" si="98"/>
        <v>1665170.7832116354</v>
      </c>
      <c r="AK147" s="93">
        <f t="shared" si="99"/>
        <v>699121.41499147529</v>
      </c>
      <c r="AL147" s="94">
        <f t="shared" si="100"/>
        <v>2299521.5577684497</v>
      </c>
      <c r="AM147" s="102">
        <f t="shared" si="93"/>
        <v>3.2891590909091075</v>
      </c>
      <c r="AN147" s="235">
        <f t="shared" si="91"/>
        <v>0.38596491228069985</v>
      </c>
      <c r="AO147" s="394">
        <f t="shared" si="94"/>
        <v>760.07269058822328</v>
      </c>
      <c r="AP147" s="395">
        <f t="shared" si="92"/>
        <v>25.335756352940777</v>
      </c>
    </row>
    <row r="148" spans="32:42" x14ac:dyDescent="0.35">
      <c r="AF148" s="230">
        <f t="shared" si="96"/>
        <v>142</v>
      </c>
      <c r="AG148" s="270">
        <f t="shared" si="97"/>
        <v>2032</v>
      </c>
      <c r="AH148" s="243" t="s">
        <v>117</v>
      </c>
      <c r="AI148" s="314">
        <f t="shared" si="101"/>
        <v>48488</v>
      </c>
      <c r="AJ148" s="91">
        <f t="shared" si="98"/>
        <v>1666677.4851516709</v>
      </c>
      <c r="AK148" s="93">
        <f t="shared" si="99"/>
        <v>691802.25327623333</v>
      </c>
      <c r="AL148" s="94">
        <f t="shared" si="100"/>
        <v>2301602.2413999271</v>
      </c>
      <c r="AM148" s="102">
        <f t="shared" si="93"/>
        <v>3.3269655172413963</v>
      </c>
      <c r="AN148" s="235">
        <f t="shared" si="91"/>
        <v>0.38157894736841913</v>
      </c>
      <c r="AO148" s="394">
        <f t="shared" si="94"/>
        <v>751.435500922448</v>
      </c>
      <c r="AP148" s="395">
        <f t="shared" si="92"/>
        <v>25.047850030748265</v>
      </c>
    </row>
    <row r="149" spans="32:42" x14ac:dyDescent="0.35">
      <c r="AF149" s="230">
        <f t="shared" si="96"/>
        <v>143</v>
      </c>
      <c r="AG149" s="270">
        <f t="shared" si="97"/>
        <v>2032</v>
      </c>
      <c r="AH149" s="243" t="s">
        <v>118</v>
      </c>
      <c r="AI149" s="314">
        <f>AI148+31</f>
        <v>48519</v>
      </c>
      <c r="AJ149" s="91">
        <f t="shared" si="98"/>
        <v>1668184.1870917063</v>
      </c>
      <c r="AK149" s="93">
        <f t="shared" si="99"/>
        <v>684468.71455366374</v>
      </c>
      <c r="AL149" s="94">
        <f t="shared" si="100"/>
        <v>2303682.9250314045</v>
      </c>
      <c r="AM149" s="102">
        <f t="shared" si="93"/>
        <v>3.3656511627907153</v>
      </c>
      <c r="AN149" s="235">
        <f t="shared" si="91"/>
        <v>0.37719298245613841</v>
      </c>
      <c r="AO149" s="394">
        <f t="shared" si="94"/>
        <v>742.7983112566726</v>
      </c>
      <c r="AP149" s="395">
        <f t="shared" si="92"/>
        <v>24.759943708555753</v>
      </c>
    </row>
    <row r="150" spans="32:42" ht="15" thickBot="1" x14ac:dyDescent="0.4">
      <c r="AF150" s="236">
        <f t="shared" si="96"/>
        <v>144</v>
      </c>
      <c r="AG150" s="272">
        <f t="shared" si="97"/>
        <v>2032</v>
      </c>
      <c r="AH150" s="246" t="s">
        <v>119</v>
      </c>
      <c r="AI150" s="315">
        <f t="shared" si="101"/>
        <v>48549</v>
      </c>
      <c r="AJ150" s="238">
        <f t="shared" si="98"/>
        <v>1669690.8890317418</v>
      </c>
      <c r="AK150" s="239">
        <f t="shared" si="99"/>
        <v>677120.79882376653</v>
      </c>
      <c r="AL150" s="240">
        <f t="shared" si="100"/>
        <v>2305763.6086628819</v>
      </c>
      <c r="AM150" s="241">
        <f t="shared" si="93"/>
        <v>3.4052470588235475</v>
      </c>
      <c r="AN150" s="242">
        <f t="shared" si="91"/>
        <v>0.3728070175438577</v>
      </c>
      <c r="AO150" s="396">
        <f t="shared" si="94"/>
        <v>734.16112159089732</v>
      </c>
      <c r="AP150" s="395">
        <f t="shared" si="92"/>
        <v>24.472037386363244</v>
      </c>
    </row>
    <row r="151" spans="32:42" x14ac:dyDescent="0.35">
      <c r="AF151" s="230">
        <f>AF150+1</f>
        <v>145</v>
      </c>
      <c r="AG151" s="269">
        <f>AG139+1</f>
        <v>2033</v>
      </c>
      <c r="AH151" s="231" t="s">
        <v>108</v>
      </c>
      <c r="AI151" s="312">
        <v>48580</v>
      </c>
      <c r="AJ151" s="232">
        <f>AL139</f>
        <v>2282876.0887166304</v>
      </c>
      <c r="AK151" s="93">
        <f>AL151/AM151</f>
        <v>914898.2065432854</v>
      </c>
      <c r="AL151" s="233">
        <f t="shared" ref="AL151" si="102">AJ151/$L$6*$M$6</f>
        <v>3152543.1701324903</v>
      </c>
      <c r="AM151" s="244">
        <f t="shared" si="93"/>
        <v>3.4457857142857327</v>
      </c>
      <c r="AN151" s="245">
        <f t="shared" si="91"/>
        <v>0.36842105263157698</v>
      </c>
      <c r="AO151" s="386">
        <f t="shared" si="94"/>
        <v>725.52393192512204</v>
      </c>
      <c r="AP151" s="397">
        <f t="shared" si="92"/>
        <v>24.184131064170735</v>
      </c>
    </row>
    <row r="152" spans="32:42" x14ac:dyDescent="0.35">
      <c r="AF152" s="230">
        <f t="shared" ref="AF152:AF162" si="103">AF151+1</f>
        <v>146</v>
      </c>
      <c r="AG152" s="269">
        <f>AG151</f>
        <v>2033</v>
      </c>
      <c r="AH152" s="231" t="s">
        <v>109</v>
      </c>
      <c r="AI152" s="312">
        <f>AI151+31</f>
        <v>48611</v>
      </c>
      <c r="AJ152" s="91">
        <f>AL152/$AL$6*$AJ$6</f>
        <v>2284382.7906566653</v>
      </c>
      <c r="AK152" s="93">
        <f>AL152/AM152</f>
        <v>904603.20703139063</v>
      </c>
      <c r="AL152" s="94">
        <f>AL151+($AL$19-$AL$7)/12</f>
        <v>3154623.8537639678</v>
      </c>
      <c r="AM152" s="102">
        <f t="shared" si="93"/>
        <v>3.4873012048192962</v>
      </c>
      <c r="AN152" s="235">
        <f t="shared" si="91"/>
        <v>0.36403508771929627</v>
      </c>
      <c r="AO152" s="388">
        <f t="shared" si="94"/>
        <v>716.88674225934665</v>
      </c>
      <c r="AP152" s="389">
        <f t="shared" si="92"/>
        <v>23.896224741978223</v>
      </c>
    </row>
    <row r="153" spans="32:42" x14ac:dyDescent="0.35">
      <c r="AF153" s="230">
        <f t="shared" si="103"/>
        <v>147</v>
      </c>
      <c r="AG153" s="270">
        <f t="shared" ref="AG153:AG162" si="104">AG152</f>
        <v>2033</v>
      </c>
      <c r="AH153" s="231" t="s">
        <v>110</v>
      </c>
      <c r="AI153" s="312">
        <f>AI152+28</f>
        <v>48639</v>
      </c>
      <c r="AJ153" s="91">
        <f t="shared" ref="AJ153:AJ162" si="105">AL153/$AL$6*$AJ$6</f>
        <v>2285889.4925967013</v>
      </c>
      <c r="AK153" s="93">
        <f t="shared" ref="AK153:AK162" si="106">AL153/AM153</f>
        <v>894293.83051216824</v>
      </c>
      <c r="AL153" s="94">
        <f t="shared" ref="AL153:AL162" si="107">AL152+($AL$19-$AL$7)/12</f>
        <v>3156704.5373954452</v>
      </c>
      <c r="AM153" s="102">
        <f t="shared" si="93"/>
        <v>3.5298292682927026</v>
      </c>
      <c r="AN153" s="235">
        <f t="shared" si="91"/>
        <v>0.35964912280701555</v>
      </c>
      <c r="AO153" s="388">
        <f t="shared" si="94"/>
        <v>708.24955259357137</v>
      </c>
      <c r="AP153" s="389">
        <f t="shared" si="92"/>
        <v>23.608318419785711</v>
      </c>
    </row>
    <row r="154" spans="32:42" x14ac:dyDescent="0.35">
      <c r="AF154" s="230">
        <f t="shared" si="103"/>
        <v>148</v>
      </c>
      <c r="AG154" s="270">
        <f t="shared" si="104"/>
        <v>2033</v>
      </c>
      <c r="AH154" s="231" t="s">
        <v>111</v>
      </c>
      <c r="AI154" s="312">
        <f t="shared" ref="AI154:AI161" si="108">AI153+31</f>
        <v>48670</v>
      </c>
      <c r="AJ154" s="91">
        <f t="shared" si="105"/>
        <v>2287396.1945367362</v>
      </c>
      <c r="AK154" s="93">
        <f t="shared" si="106"/>
        <v>883970.07698561833</v>
      </c>
      <c r="AL154" s="94">
        <f t="shared" si="107"/>
        <v>3158785.2210269226</v>
      </c>
      <c r="AM154" s="102">
        <f t="shared" si="93"/>
        <v>3.5734074074074278</v>
      </c>
      <c r="AN154" s="235">
        <f t="shared" si="91"/>
        <v>0.35526315789473484</v>
      </c>
      <c r="AO154" s="388">
        <f t="shared" si="94"/>
        <v>699.61236292779597</v>
      </c>
      <c r="AP154" s="389">
        <f t="shared" si="92"/>
        <v>23.320412097593199</v>
      </c>
    </row>
    <row r="155" spans="32:42" x14ac:dyDescent="0.35">
      <c r="AF155" s="230">
        <f t="shared" si="103"/>
        <v>149</v>
      </c>
      <c r="AG155" s="270">
        <f t="shared" si="104"/>
        <v>2033</v>
      </c>
      <c r="AH155" s="231" t="s">
        <v>112</v>
      </c>
      <c r="AI155" s="312">
        <f>AI154+30</f>
        <v>48700</v>
      </c>
      <c r="AJ155" s="91">
        <f t="shared" si="105"/>
        <v>2288902.8964767717</v>
      </c>
      <c r="AK155" s="93">
        <f t="shared" si="106"/>
        <v>873631.94645174069</v>
      </c>
      <c r="AL155" s="94">
        <f t="shared" si="107"/>
        <v>3160865.9046584</v>
      </c>
      <c r="AM155" s="102">
        <f t="shared" si="93"/>
        <v>3.618075000000021</v>
      </c>
      <c r="AN155" s="235">
        <f t="shared" si="91"/>
        <v>0.35087719298245412</v>
      </c>
      <c r="AO155" s="388">
        <f t="shared" si="94"/>
        <v>690.97517326202069</v>
      </c>
      <c r="AP155" s="389">
        <f t="shared" si="92"/>
        <v>23.032505775400686</v>
      </c>
    </row>
    <row r="156" spans="32:42" x14ac:dyDescent="0.35">
      <c r="AF156" s="230">
        <f t="shared" si="103"/>
        <v>150</v>
      </c>
      <c r="AG156" s="273">
        <f t="shared" si="104"/>
        <v>2033</v>
      </c>
      <c r="AH156" s="231" t="s">
        <v>113</v>
      </c>
      <c r="AI156" s="312">
        <f t="shared" si="108"/>
        <v>48731</v>
      </c>
      <c r="AJ156" s="91">
        <f t="shared" si="105"/>
        <v>2290409.5984168071</v>
      </c>
      <c r="AK156" s="93">
        <f t="shared" si="106"/>
        <v>863279.43891053542</v>
      </c>
      <c r="AL156" s="94">
        <f t="shared" si="107"/>
        <v>3162946.5882898774</v>
      </c>
      <c r="AM156" s="102">
        <f t="shared" si="93"/>
        <v>3.6638734177215406</v>
      </c>
      <c r="AN156" s="235">
        <f t="shared" si="91"/>
        <v>0.34649122807017341</v>
      </c>
      <c r="AO156" s="388">
        <f t="shared" si="94"/>
        <v>682.33798359624541</v>
      </c>
      <c r="AP156" s="389">
        <f t="shared" si="92"/>
        <v>22.744599453208178</v>
      </c>
    </row>
    <row r="157" spans="32:42" x14ac:dyDescent="0.35">
      <c r="AF157" s="230">
        <f t="shared" si="103"/>
        <v>151</v>
      </c>
      <c r="AG157" s="270">
        <f t="shared" si="104"/>
        <v>2033</v>
      </c>
      <c r="AH157" s="231" t="s">
        <v>114</v>
      </c>
      <c r="AI157" s="312">
        <f>AI156+30</f>
        <v>48761</v>
      </c>
      <c r="AJ157" s="91">
        <f t="shared" si="105"/>
        <v>2291916.3003568421</v>
      </c>
      <c r="AK157" s="93">
        <f t="shared" si="106"/>
        <v>852912.55436200253</v>
      </c>
      <c r="AL157" s="94">
        <f t="shared" si="107"/>
        <v>3165027.2719213548</v>
      </c>
      <c r="AM157" s="102">
        <f t="shared" si="93"/>
        <v>3.7108461538461763</v>
      </c>
      <c r="AN157" s="235">
        <f t="shared" si="91"/>
        <v>0.34210526315789269</v>
      </c>
      <c r="AO157" s="388">
        <f t="shared" si="94"/>
        <v>673.70079393047001</v>
      </c>
      <c r="AP157" s="389">
        <f t="shared" si="92"/>
        <v>22.456693131015665</v>
      </c>
    </row>
    <row r="158" spans="32:42" x14ac:dyDescent="0.35">
      <c r="AF158" s="230">
        <f t="shared" si="103"/>
        <v>152</v>
      </c>
      <c r="AG158" s="270">
        <f t="shared" si="104"/>
        <v>2033</v>
      </c>
      <c r="AH158" s="231" t="s">
        <v>115</v>
      </c>
      <c r="AI158" s="312">
        <f t="shared" si="108"/>
        <v>48792</v>
      </c>
      <c r="AJ158" s="91">
        <f t="shared" si="105"/>
        <v>2293423.002296878</v>
      </c>
      <c r="AK158" s="93">
        <f t="shared" si="106"/>
        <v>842531.29280614201</v>
      </c>
      <c r="AL158" s="94">
        <f t="shared" si="107"/>
        <v>3167107.9555528322</v>
      </c>
      <c r="AM158" s="102">
        <f t="shared" si="93"/>
        <v>3.7590389610389843</v>
      </c>
      <c r="AN158" s="235">
        <f t="shared" si="91"/>
        <v>0.33771929824561198</v>
      </c>
      <c r="AO158" s="388">
        <f t="shared" si="94"/>
        <v>665.06360426469462</v>
      </c>
      <c r="AP158" s="389">
        <f t="shared" si="92"/>
        <v>22.168786808823153</v>
      </c>
    </row>
    <row r="159" spans="32:42" x14ac:dyDescent="0.35">
      <c r="AF159" s="230">
        <f t="shared" si="103"/>
        <v>153</v>
      </c>
      <c r="AG159" s="270">
        <f t="shared" si="104"/>
        <v>2033</v>
      </c>
      <c r="AH159" s="231" t="s">
        <v>116</v>
      </c>
      <c r="AI159" s="312">
        <f t="shared" si="108"/>
        <v>48823</v>
      </c>
      <c r="AJ159" s="91">
        <f t="shared" si="105"/>
        <v>2294929.704236913</v>
      </c>
      <c r="AK159" s="93">
        <f t="shared" si="106"/>
        <v>832135.65424295387</v>
      </c>
      <c r="AL159" s="94">
        <f t="shared" si="107"/>
        <v>3169188.6391843096</v>
      </c>
      <c r="AM159" s="102">
        <f t="shared" si="93"/>
        <v>3.808500000000024</v>
      </c>
      <c r="AN159" s="235">
        <f t="shared" si="91"/>
        <v>0.33333333333333126</v>
      </c>
      <c r="AO159" s="388">
        <f t="shared" si="94"/>
        <v>656.42641459891934</v>
      </c>
      <c r="AP159" s="389">
        <f t="shared" si="92"/>
        <v>21.880880486630645</v>
      </c>
    </row>
    <row r="160" spans="32:42" x14ac:dyDescent="0.35">
      <c r="AF160" s="230">
        <f t="shared" si="103"/>
        <v>154</v>
      </c>
      <c r="AG160" s="270">
        <f t="shared" si="104"/>
        <v>2033</v>
      </c>
      <c r="AH160" s="231" t="s">
        <v>117</v>
      </c>
      <c r="AI160" s="312">
        <f>AI159+30</f>
        <v>48853</v>
      </c>
      <c r="AJ160" s="91">
        <f t="shared" si="105"/>
        <v>2296436.4061769489</v>
      </c>
      <c r="AK160" s="93">
        <f t="shared" si="106"/>
        <v>821725.63867243798</v>
      </c>
      <c r="AL160" s="94">
        <f t="shared" si="107"/>
        <v>3171269.322815787</v>
      </c>
      <c r="AM160" s="102">
        <f t="shared" si="93"/>
        <v>3.8592800000000249</v>
      </c>
      <c r="AN160" s="235">
        <f t="shared" si="91"/>
        <v>0.32894736842105055</v>
      </c>
      <c r="AO160" s="388">
        <f t="shared" si="94"/>
        <v>647.78922493314394</v>
      </c>
      <c r="AP160" s="389">
        <f t="shared" si="92"/>
        <v>21.592974164438132</v>
      </c>
    </row>
    <row r="161" spans="32:42" x14ac:dyDescent="0.35">
      <c r="AF161" s="230">
        <f t="shared" si="103"/>
        <v>155</v>
      </c>
      <c r="AG161" s="270">
        <f t="shared" si="104"/>
        <v>2033</v>
      </c>
      <c r="AH161" s="231" t="s">
        <v>118</v>
      </c>
      <c r="AI161" s="312">
        <f t="shared" si="108"/>
        <v>48884</v>
      </c>
      <c r="AJ161" s="91">
        <f t="shared" si="105"/>
        <v>2297943.1081169839</v>
      </c>
      <c r="AK161" s="93">
        <f t="shared" si="106"/>
        <v>811301.24609459459</v>
      </c>
      <c r="AL161" s="94">
        <f t="shared" si="107"/>
        <v>3173350.0064472645</v>
      </c>
      <c r="AM161" s="102">
        <f t="shared" si="93"/>
        <v>3.9114324324324579</v>
      </c>
      <c r="AN161" s="235">
        <f t="shared" si="91"/>
        <v>0.32456140350876983</v>
      </c>
      <c r="AO161" s="388">
        <f t="shared" si="94"/>
        <v>639.15203526736866</v>
      </c>
      <c r="AP161" s="389">
        <f t="shared" si="92"/>
        <v>21.30506784224562</v>
      </c>
    </row>
    <row r="162" spans="32:42" ht="15" thickBot="1" x14ac:dyDescent="0.4">
      <c r="AF162" s="236">
        <f t="shared" si="103"/>
        <v>156</v>
      </c>
      <c r="AG162" s="272">
        <f t="shared" si="104"/>
        <v>2033</v>
      </c>
      <c r="AH162" s="237" t="s">
        <v>119</v>
      </c>
      <c r="AI162" s="313">
        <f>AI161+30</f>
        <v>48914</v>
      </c>
      <c r="AJ162" s="238">
        <f t="shared" si="105"/>
        <v>2299449.8100570193</v>
      </c>
      <c r="AK162" s="239">
        <f t="shared" si="106"/>
        <v>800862.47650942358</v>
      </c>
      <c r="AL162" s="240">
        <f t="shared" si="107"/>
        <v>3175430.6900787419</v>
      </c>
      <c r="AM162" s="241">
        <f t="shared" si="93"/>
        <v>3.9650136986301634</v>
      </c>
      <c r="AN162" s="242">
        <f t="shared" si="91"/>
        <v>0.32017543859648911</v>
      </c>
      <c r="AO162" s="390">
        <f t="shared" si="94"/>
        <v>630.51484560159338</v>
      </c>
      <c r="AP162" s="389">
        <f t="shared" si="92"/>
        <v>21.017161520053111</v>
      </c>
    </row>
    <row r="163" spans="32:42" x14ac:dyDescent="0.35">
      <c r="AF163" s="230">
        <f>AF162+1</f>
        <v>157</v>
      </c>
      <c r="AG163" s="269">
        <f>AG151+1</f>
        <v>2034</v>
      </c>
      <c r="AH163" s="243" t="s">
        <v>108</v>
      </c>
      <c r="AI163" s="314">
        <f>AI162+31</f>
        <v>48945</v>
      </c>
      <c r="AJ163" s="232">
        <f>AL151</f>
        <v>3152543.1701324903</v>
      </c>
      <c r="AK163" s="93">
        <f>AL163/AM163</f>
        <v>1082940.7342757243</v>
      </c>
      <c r="AL163" s="233">
        <f t="shared" ref="AL163" si="109">AJ163/$L$6*$M$6</f>
        <v>4353511.996849631</v>
      </c>
      <c r="AM163" s="244">
        <f t="shared" si="93"/>
        <v>4.0200833333333605</v>
      </c>
      <c r="AN163" s="245">
        <f t="shared" si="91"/>
        <v>0.3157894736842084</v>
      </c>
      <c r="AO163" s="392">
        <f t="shared" si="94"/>
        <v>621.87765593581798</v>
      </c>
      <c r="AP163" s="397">
        <f t="shared" si="92"/>
        <v>20.729255197860599</v>
      </c>
    </row>
    <row r="164" spans="32:42" x14ac:dyDescent="0.35">
      <c r="AF164" s="230">
        <f t="shared" ref="AF164:AF174" si="110">AF163+1</f>
        <v>158</v>
      </c>
      <c r="AG164" s="269">
        <f>AG163</f>
        <v>2034</v>
      </c>
      <c r="AH164" s="243" t="s">
        <v>109</v>
      </c>
      <c r="AI164" s="314">
        <f>AI163+31</f>
        <v>48976</v>
      </c>
      <c r="AJ164" s="91">
        <f>AL164/$AL$6*$AJ$6</f>
        <v>3154049.8720725253</v>
      </c>
      <c r="AK164" s="93">
        <f>AL164/AM164</f>
        <v>1068410.2745042478</v>
      </c>
      <c r="AL164" s="94">
        <f>AL163+($AL$19-$AL$7)/12</f>
        <v>4355592.6804811079</v>
      </c>
      <c r="AM164" s="102">
        <f t="shared" si="93"/>
        <v>4.0767042253521408</v>
      </c>
      <c r="AN164" s="235">
        <f t="shared" si="91"/>
        <v>0.31140350877192768</v>
      </c>
      <c r="AO164" s="394">
        <f t="shared" si="94"/>
        <v>613.2404662700427</v>
      </c>
      <c r="AP164" s="389">
        <f t="shared" si="92"/>
        <v>20.441348875668087</v>
      </c>
    </row>
    <row r="165" spans="32:42" x14ac:dyDescent="0.35">
      <c r="AF165" s="230">
        <f t="shared" si="110"/>
        <v>159</v>
      </c>
      <c r="AG165" s="270">
        <f t="shared" ref="AG165:AG174" si="111">AG164</f>
        <v>2034</v>
      </c>
      <c r="AH165" s="243" t="s">
        <v>110</v>
      </c>
      <c r="AI165" s="314">
        <f>AI164+28</f>
        <v>49004</v>
      </c>
      <c r="AJ165" s="91">
        <f t="shared" ref="AJ165:AJ174" si="112">AL165/$AL$6*$AJ$6</f>
        <v>3155556.5740125608</v>
      </c>
      <c r="AK165" s="93">
        <f t="shared" ref="AK165:AK174" si="113">AL165/AM165</f>
        <v>1053865.4377254439</v>
      </c>
      <c r="AL165" s="94">
        <f t="shared" ref="AL165:AL174" si="114">AL164+($AL$19-$AL$7)/12</f>
        <v>4357673.3641125849</v>
      </c>
      <c r="AM165" s="102">
        <f t="shared" si="93"/>
        <v>4.1349428571428861</v>
      </c>
      <c r="AN165" s="235">
        <f t="shared" si="91"/>
        <v>0.30701754385964697</v>
      </c>
      <c r="AO165" s="394">
        <f t="shared" si="94"/>
        <v>604.60327660426742</v>
      </c>
      <c r="AP165" s="389">
        <f t="shared" si="92"/>
        <v>20.153442553475578</v>
      </c>
    </row>
    <row r="166" spans="32:42" x14ac:dyDescent="0.35">
      <c r="AF166" s="230">
        <f t="shared" si="110"/>
        <v>160</v>
      </c>
      <c r="AG166" s="270">
        <f t="shared" si="111"/>
        <v>2034</v>
      </c>
      <c r="AH166" s="243" t="s">
        <v>111</v>
      </c>
      <c r="AI166" s="314">
        <f>AI165+31</f>
        <v>49035</v>
      </c>
      <c r="AJ166" s="91">
        <f t="shared" si="112"/>
        <v>3157063.2759525953</v>
      </c>
      <c r="AK166" s="93">
        <f t="shared" si="113"/>
        <v>1039306.2239393119</v>
      </c>
      <c r="AL166" s="94">
        <f t="shared" si="114"/>
        <v>4359754.0477440618</v>
      </c>
      <c r="AM166" s="102">
        <f t="shared" si="93"/>
        <v>4.1948695652174219</v>
      </c>
      <c r="AN166" s="235">
        <f t="shared" si="91"/>
        <v>0.30263157894736625</v>
      </c>
      <c r="AO166" s="394">
        <f t="shared" si="94"/>
        <v>595.96608693849191</v>
      </c>
      <c r="AP166" s="389">
        <f t="shared" si="92"/>
        <v>19.865536231283063</v>
      </c>
    </row>
    <row r="167" spans="32:42" x14ac:dyDescent="0.35">
      <c r="AF167" s="230">
        <f t="shared" si="110"/>
        <v>161</v>
      </c>
      <c r="AG167" s="270">
        <f t="shared" si="111"/>
        <v>2034</v>
      </c>
      <c r="AH167" s="243" t="s">
        <v>112</v>
      </c>
      <c r="AI167" s="314">
        <f t="shared" ref="AI167:AI174" si="115">AI166+30</f>
        <v>49065</v>
      </c>
      <c r="AJ167" s="91">
        <f t="shared" si="112"/>
        <v>3158569.9778926307</v>
      </c>
      <c r="AK167" s="93">
        <f t="shared" si="113"/>
        <v>1024732.6331458526</v>
      </c>
      <c r="AL167" s="94">
        <f t="shared" si="114"/>
        <v>4361834.7313755387</v>
      </c>
      <c r="AM167" s="102">
        <f t="shared" si="93"/>
        <v>4.2565588235294429</v>
      </c>
      <c r="AN167" s="235">
        <f t="shared" si="91"/>
        <v>0.29824561403508554</v>
      </c>
      <c r="AO167" s="394">
        <f t="shared" si="94"/>
        <v>587.32889727271674</v>
      </c>
      <c r="AP167" s="389">
        <f t="shared" si="92"/>
        <v>19.577629909090554</v>
      </c>
    </row>
    <row r="168" spans="32:42" x14ac:dyDescent="0.35">
      <c r="AF168" s="230">
        <f t="shared" si="110"/>
        <v>162</v>
      </c>
      <c r="AG168" s="273">
        <f t="shared" si="111"/>
        <v>2034</v>
      </c>
      <c r="AH168" s="243" t="s">
        <v>113</v>
      </c>
      <c r="AI168" s="314">
        <f>AI167+31</f>
        <v>49096</v>
      </c>
      <c r="AJ168" s="91">
        <f t="shared" si="112"/>
        <v>3160076.6798326652</v>
      </c>
      <c r="AK168" s="93">
        <f t="shared" si="113"/>
        <v>1010144.6653450656</v>
      </c>
      <c r="AL168" s="94">
        <f t="shared" si="114"/>
        <v>4363915.4150070157</v>
      </c>
      <c r="AM168" s="102">
        <f t="shared" si="93"/>
        <v>4.3200895522388381</v>
      </c>
      <c r="AN168" s="235">
        <f t="shared" si="91"/>
        <v>0.29385964912280482</v>
      </c>
      <c r="AO168" s="394">
        <f t="shared" si="94"/>
        <v>578.69170760694135</v>
      </c>
      <c r="AP168" s="389">
        <f t="shared" si="92"/>
        <v>19.289723586898045</v>
      </c>
    </row>
    <row r="169" spans="32:42" x14ac:dyDescent="0.35">
      <c r="AF169" s="230">
        <f t="shared" si="110"/>
        <v>163</v>
      </c>
      <c r="AG169" s="270">
        <f t="shared" si="111"/>
        <v>2034</v>
      </c>
      <c r="AH169" s="243" t="s">
        <v>114</v>
      </c>
      <c r="AI169" s="314">
        <f t="shared" si="115"/>
        <v>49126</v>
      </c>
      <c r="AJ169" s="91">
        <f t="shared" si="112"/>
        <v>3161583.3817727007</v>
      </c>
      <c r="AK169" s="93">
        <f t="shared" si="113"/>
        <v>995542.32053695095</v>
      </c>
      <c r="AL169" s="94">
        <f t="shared" si="114"/>
        <v>4365996.0986384926</v>
      </c>
      <c r="AM169" s="102">
        <f t="shared" si="93"/>
        <v>4.3855454545454879</v>
      </c>
      <c r="AN169" s="235">
        <f t="shared" si="91"/>
        <v>0.28947368421052411</v>
      </c>
      <c r="AO169" s="394">
        <f t="shared" si="94"/>
        <v>570.05451794116607</v>
      </c>
      <c r="AP169" s="389">
        <f t="shared" si="92"/>
        <v>19.001817264705533</v>
      </c>
    </row>
    <row r="170" spans="32:42" x14ac:dyDescent="0.35">
      <c r="AF170" s="230">
        <f t="shared" si="110"/>
        <v>164</v>
      </c>
      <c r="AG170" s="270">
        <f t="shared" si="111"/>
        <v>2034</v>
      </c>
      <c r="AH170" s="243" t="s">
        <v>115</v>
      </c>
      <c r="AI170" s="314">
        <f>AI169+31</f>
        <v>49157</v>
      </c>
      <c r="AJ170" s="91">
        <f t="shared" si="112"/>
        <v>3163090.0837127357</v>
      </c>
      <c r="AK170" s="93">
        <f t="shared" si="113"/>
        <v>980925.59872150875</v>
      </c>
      <c r="AL170" s="94">
        <f t="shared" si="114"/>
        <v>4368076.7822699696</v>
      </c>
      <c r="AM170" s="102">
        <f t="shared" si="93"/>
        <v>4.4530153846154192</v>
      </c>
      <c r="AN170" s="235">
        <f t="shared" si="91"/>
        <v>0.28508771929824339</v>
      </c>
      <c r="AO170" s="394">
        <f t="shared" si="94"/>
        <v>561.41732827539067</v>
      </c>
      <c r="AP170" s="389">
        <f t="shared" si="92"/>
        <v>18.713910942513021</v>
      </c>
    </row>
    <row r="171" spans="32:42" x14ac:dyDescent="0.35">
      <c r="AF171" s="230">
        <f t="shared" si="110"/>
        <v>165</v>
      </c>
      <c r="AG171" s="270">
        <f t="shared" si="111"/>
        <v>2034</v>
      </c>
      <c r="AH171" s="243" t="s">
        <v>116</v>
      </c>
      <c r="AI171" s="314">
        <f>AI170+31</f>
        <v>49188</v>
      </c>
      <c r="AJ171" s="91">
        <f t="shared" si="112"/>
        <v>3164596.7856527707</v>
      </c>
      <c r="AK171" s="93">
        <f t="shared" si="113"/>
        <v>966294.49989873881</v>
      </c>
      <c r="AL171" s="94">
        <f t="shared" si="114"/>
        <v>4370157.4659014465</v>
      </c>
      <c r="AM171" s="102">
        <f t="shared" si="93"/>
        <v>4.5225937500000359</v>
      </c>
      <c r="AN171" s="235">
        <f t="shared" si="91"/>
        <v>0.28070175438596268</v>
      </c>
      <c r="AO171" s="394">
        <f t="shared" si="94"/>
        <v>552.78013860961539</v>
      </c>
      <c r="AP171" s="389">
        <f t="shared" si="92"/>
        <v>18.426004620320512</v>
      </c>
    </row>
    <row r="172" spans="32:42" x14ac:dyDescent="0.35">
      <c r="AF172" s="230">
        <f t="shared" si="110"/>
        <v>166</v>
      </c>
      <c r="AG172" s="270">
        <f t="shared" si="111"/>
        <v>2034</v>
      </c>
      <c r="AH172" s="243" t="s">
        <v>117</v>
      </c>
      <c r="AI172" s="314">
        <f t="shared" si="115"/>
        <v>49218</v>
      </c>
      <c r="AJ172" s="91">
        <f t="shared" si="112"/>
        <v>3166103.4875928061</v>
      </c>
      <c r="AK172" s="93">
        <f t="shared" si="113"/>
        <v>951649.02406864113</v>
      </c>
      <c r="AL172" s="94">
        <f t="shared" si="114"/>
        <v>4372238.1495329235</v>
      </c>
      <c r="AM172" s="102">
        <f t="shared" si="93"/>
        <v>4.5943809523809902</v>
      </c>
      <c r="AN172" s="235">
        <f t="shared" si="91"/>
        <v>0.27631578947368196</v>
      </c>
      <c r="AO172" s="394">
        <f t="shared" si="94"/>
        <v>544.14294894384</v>
      </c>
      <c r="AP172" s="389">
        <f t="shared" si="92"/>
        <v>18.138098298127996</v>
      </c>
    </row>
    <row r="173" spans="32:42" x14ac:dyDescent="0.35">
      <c r="AF173" s="230">
        <f t="shared" si="110"/>
        <v>167</v>
      </c>
      <c r="AG173" s="270">
        <f t="shared" si="111"/>
        <v>2034</v>
      </c>
      <c r="AH173" s="243" t="s">
        <v>118</v>
      </c>
      <c r="AI173" s="314">
        <f>AI172+31</f>
        <v>49249</v>
      </c>
      <c r="AJ173" s="91">
        <f t="shared" si="112"/>
        <v>3167610.1895328406</v>
      </c>
      <c r="AK173" s="93">
        <f t="shared" si="113"/>
        <v>936989.17123121605</v>
      </c>
      <c r="AL173" s="94">
        <f t="shared" si="114"/>
        <v>4374318.8331644004</v>
      </c>
      <c r="AM173" s="102">
        <f t="shared" si="93"/>
        <v>4.6684838709677807</v>
      </c>
      <c r="AN173" s="235">
        <f t="shared" si="91"/>
        <v>0.27192982456140125</v>
      </c>
      <c r="AO173" s="394">
        <f t="shared" si="94"/>
        <v>535.50575927806472</v>
      </c>
      <c r="AP173" s="389">
        <f t="shared" si="92"/>
        <v>17.850191975935488</v>
      </c>
    </row>
    <row r="174" spans="32:42" ht="15" thickBot="1" x14ac:dyDescent="0.4">
      <c r="AF174" s="236">
        <f t="shared" si="110"/>
        <v>168</v>
      </c>
      <c r="AG174" s="272">
        <f t="shared" si="111"/>
        <v>2034</v>
      </c>
      <c r="AH174" s="246" t="s">
        <v>119</v>
      </c>
      <c r="AI174" s="315">
        <f t="shared" si="115"/>
        <v>49279</v>
      </c>
      <c r="AJ174" s="238">
        <f t="shared" si="112"/>
        <v>3169116.8914728761</v>
      </c>
      <c r="AK174" s="239">
        <f t="shared" si="113"/>
        <v>922314.94138646312</v>
      </c>
      <c r="AL174" s="240">
        <f t="shared" si="114"/>
        <v>4376399.5167958774</v>
      </c>
      <c r="AM174" s="241">
        <f t="shared" si="93"/>
        <v>4.7450163934426639</v>
      </c>
      <c r="AN174" s="242">
        <f t="shared" si="91"/>
        <v>0.26754385964912053</v>
      </c>
      <c r="AO174" s="396">
        <f t="shared" si="94"/>
        <v>526.86856961228932</v>
      </c>
      <c r="AP174" s="389">
        <f t="shared" si="92"/>
        <v>17.562285653742975</v>
      </c>
    </row>
    <row r="175" spans="32:42" x14ac:dyDescent="0.35">
      <c r="AF175" s="230">
        <f>AF174+1</f>
        <v>169</v>
      </c>
      <c r="AG175" s="269">
        <f>AG163+1</f>
        <v>2035</v>
      </c>
      <c r="AH175" s="231" t="s">
        <v>108</v>
      </c>
      <c r="AI175" s="312">
        <v>49310</v>
      </c>
      <c r="AJ175" s="232">
        <f>AL163</f>
        <v>4353511.996849631</v>
      </c>
      <c r="AK175" s="93">
        <f>AL175/AM175</f>
        <v>1246241.3211903158</v>
      </c>
      <c r="AL175" s="233">
        <f t="shared" ref="AL175" si="116">AJ175/$L$6*$M$6</f>
        <v>6011992.7575542545</v>
      </c>
      <c r="AM175" s="244">
        <f t="shared" si="93"/>
        <v>4.8241000000000422</v>
      </c>
      <c r="AN175" s="245">
        <f t="shared" si="91"/>
        <v>0.26315789473683981</v>
      </c>
      <c r="AO175" s="386">
        <f t="shared" si="94"/>
        <v>518.23137994651404</v>
      </c>
      <c r="AP175" s="397">
        <f t="shared" si="92"/>
        <v>17.274379331550467</v>
      </c>
    </row>
    <row r="176" spans="32:42" x14ac:dyDescent="0.35">
      <c r="AF176" s="230">
        <f t="shared" ref="AF176:AF186" si="117">AF175+1</f>
        <v>170</v>
      </c>
      <c r="AG176" s="269">
        <f>AG175</f>
        <v>2035</v>
      </c>
      <c r="AH176" s="231" t="s">
        <v>109</v>
      </c>
      <c r="AI176" s="312">
        <f>AI175+31</f>
        <v>49341</v>
      </c>
      <c r="AJ176" s="91">
        <f>AL176/$AL$6*$AJ$6</f>
        <v>4355018.6987896664</v>
      </c>
      <c r="AK176" s="93">
        <f>AL176/AM176</f>
        <v>1225894.7542199753</v>
      </c>
      <c r="AL176" s="94">
        <f>AL175+($AL$19-$AL$7)/12</f>
        <v>6014073.4411857314</v>
      </c>
      <c r="AM176" s="102">
        <f t="shared" si="93"/>
        <v>4.9058644067797053</v>
      </c>
      <c r="AN176" s="235">
        <f t="shared" si="91"/>
        <v>0.2587719298245591</v>
      </c>
      <c r="AO176" s="388">
        <f t="shared" si="94"/>
        <v>509.59419028073864</v>
      </c>
      <c r="AP176" s="389">
        <f t="shared" si="92"/>
        <v>16.986473009357955</v>
      </c>
    </row>
    <row r="177" spans="32:42" x14ac:dyDescent="0.35">
      <c r="AF177" s="230">
        <f t="shared" si="117"/>
        <v>171</v>
      </c>
      <c r="AG177" s="270">
        <f t="shared" ref="AG177:AG186" si="118">AG176</f>
        <v>2035</v>
      </c>
      <c r="AH177" s="231" t="s">
        <v>110</v>
      </c>
      <c r="AI177" s="312">
        <f>AI176+28</f>
        <v>49369</v>
      </c>
      <c r="AJ177" s="91">
        <f t="shared" ref="AJ177:AJ186" si="119">AL177/$AL$6*$AJ$6</f>
        <v>4356525.4007297019</v>
      </c>
      <c r="AK177" s="93">
        <f t="shared" ref="AK177:AK186" si="120">AL177/AM177</f>
        <v>1205533.8102423071</v>
      </c>
      <c r="AL177" s="94">
        <f t="shared" ref="AL177:AL186" si="121">AL176+($AL$19-$AL$7)/12</f>
        <v>6016154.1248172084</v>
      </c>
      <c r="AM177" s="102">
        <f t="shared" si="93"/>
        <v>4.9904482758621151</v>
      </c>
      <c r="AN177" s="235">
        <f t="shared" si="91"/>
        <v>0.25438596491227838</v>
      </c>
      <c r="AO177" s="388">
        <f t="shared" si="94"/>
        <v>500.95700061496325</v>
      </c>
      <c r="AP177" s="389">
        <f t="shared" si="92"/>
        <v>16.698566687165442</v>
      </c>
    </row>
    <row r="178" spans="32:42" x14ac:dyDescent="0.35">
      <c r="AF178" s="230">
        <f t="shared" si="117"/>
        <v>172</v>
      </c>
      <c r="AG178" s="270">
        <f t="shared" si="118"/>
        <v>2035</v>
      </c>
      <c r="AH178" s="231" t="s">
        <v>111</v>
      </c>
      <c r="AI178" s="312">
        <f t="shared" ref="AI178:AI185" si="122">AI177+31</f>
        <v>49400</v>
      </c>
      <c r="AJ178" s="91">
        <f t="shared" si="119"/>
        <v>4358032.1026697364</v>
      </c>
      <c r="AK178" s="93">
        <f t="shared" si="120"/>
        <v>1185158.4892573117</v>
      </c>
      <c r="AL178" s="94">
        <f t="shared" si="121"/>
        <v>6018234.8084486853</v>
      </c>
      <c r="AM178" s="102">
        <f t="shared" si="93"/>
        <v>5.0780000000000474</v>
      </c>
      <c r="AN178" s="235">
        <f t="shared" si="91"/>
        <v>0.2499999999999977</v>
      </c>
      <c r="AO178" s="388">
        <f t="shared" si="94"/>
        <v>492.31981094918802</v>
      </c>
      <c r="AP178" s="389">
        <f t="shared" si="92"/>
        <v>16.410660364972934</v>
      </c>
    </row>
    <row r="179" spans="32:42" x14ac:dyDescent="0.35">
      <c r="AF179" s="230">
        <f t="shared" si="117"/>
        <v>173</v>
      </c>
      <c r="AG179" s="270">
        <f t="shared" si="118"/>
        <v>2035</v>
      </c>
      <c r="AH179" s="231" t="s">
        <v>112</v>
      </c>
      <c r="AI179" s="312">
        <f>AI178+30</f>
        <v>49430</v>
      </c>
      <c r="AJ179" s="91">
        <f t="shared" si="119"/>
        <v>4359538.8046097709</v>
      </c>
      <c r="AK179" s="93">
        <f t="shared" si="120"/>
        <v>1164768.7912649887</v>
      </c>
      <c r="AL179" s="94">
        <f t="shared" si="121"/>
        <v>6020315.4920801623</v>
      </c>
      <c r="AM179" s="102">
        <f t="shared" si="93"/>
        <v>5.1686785714286199</v>
      </c>
      <c r="AN179" s="235">
        <f t="shared" si="91"/>
        <v>0.24561403508771701</v>
      </c>
      <c r="AO179" s="388">
        <f t="shared" si="94"/>
        <v>483.68262128341274</v>
      </c>
      <c r="AP179" s="389">
        <f t="shared" si="92"/>
        <v>16.122754042780425</v>
      </c>
    </row>
    <row r="180" spans="32:42" x14ac:dyDescent="0.35">
      <c r="AF180" s="230">
        <f t="shared" si="117"/>
        <v>174</v>
      </c>
      <c r="AG180" s="273">
        <f t="shared" si="118"/>
        <v>2035</v>
      </c>
      <c r="AH180" s="231" t="s">
        <v>113</v>
      </c>
      <c r="AI180" s="312">
        <f t="shared" si="122"/>
        <v>49461</v>
      </c>
      <c r="AJ180" s="91">
        <f t="shared" si="119"/>
        <v>4361045.5065498063</v>
      </c>
      <c r="AK180" s="93">
        <f t="shared" si="120"/>
        <v>1144364.716265338</v>
      </c>
      <c r="AL180" s="94">
        <f t="shared" si="121"/>
        <v>6022396.1757116392</v>
      </c>
      <c r="AM180" s="102">
        <f t="shared" si="93"/>
        <v>5.2626545454545957</v>
      </c>
      <c r="AN180" s="235">
        <f t="shared" si="91"/>
        <v>0.24122807017543632</v>
      </c>
      <c r="AO180" s="388">
        <f t="shared" si="94"/>
        <v>475.04543161763746</v>
      </c>
      <c r="AP180" s="389">
        <f t="shared" si="92"/>
        <v>15.834847720587915</v>
      </c>
    </row>
    <row r="181" spans="32:42" x14ac:dyDescent="0.35">
      <c r="AF181" s="230">
        <f t="shared" si="117"/>
        <v>175</v>
      </c>
      <c r="AG181" s="270">
        <f t="shared" si="118"/>
        <v>2035</v>
      </c>
      <c r="AH181" s="231" t="s">
        <v>114</v>
      </c>
      <c r="AI181" s="312">
        <f>AI180+30</f>
        <v>49491</v>
      </c>
      <c r="AJ181" s="91">
        <f t="shared" si="119"/>
        <v>4362552.2084898418</v>
      </c>
      <c r="AK181" s="93">
        <f t="shared" si="120"/>
        <v>1123946.2642583596</v>
      </c>
      <c r="AL181" s="94">
        <f t="shared" si="121"/>
        <v>6024476.8593431162</v>
      </c>
      <c r="AM181" s="102">
        <f t="shared" si="93"/>
        <v>5.3601111111111628</v>
      </c>
      <c r="AN181" s="235">
        <f t="shared" si="91"/>
        <v>0.23684210526315563</v>
      </c>
      <c r="AO181" s="388">
        <f t="shared" si="94"/>
        <v>466.40824195186218</v>
      </c>
      <c r="AP181" s="389">
        <f t="shared" si="92"/>
        <v>15.546941398395404</v>
      </c>
    </row>
    <row r="182" spans="32:42" x14ac:dyDescent="0.35">
      <c r="AF182" s="230">
        <f t="shared" si="117"/>
        <v>176</v>
      </c>
      <c r="AG182" s="270">
        <f t="shared" si="118"/>
        <v>2035</v>
      </c>
      <c r="AH182" s="231" t="s">
        <v>115</v>
      </c>
      <c r="AI182" s="312">
        <f t="shared" si="122"/>
        <v>49522</v>
      </c>
      <c r="AJ182" s="91">
        <f t="shared" si="119"/>
        <v>4364058.9104298763</v>
      </c>
      <c r="AK182" s="93">
        <f t="shared" si="120"/>
        <v>1103513.4352440536</v>
      </c>
      <c r="AL182" s="94">
        <f t="shared" si="121"/>
        <v>6026557.5429745931</v>
      </c>
      <c r="AM182" s="102">
        <f t="shared" si="93"/>
        <v>5.4612452830189211</v>
      </c>
      <c r="AN182" s="235">
        <f t="shared" si="91"/>
        <v>0.23245614035087495</v>
      </c>
      <c r="AO182" s="388">
        <f t="shared" si="94"/>
        <v>457.7710522860869</v>
      </c>
      <c r="AP182" s="389">
        <f t="shared" si="92"/>
        <v>15.259035076202895</v>
      </c>
    </row>
    <row r="183" spans="32:42" x14ac:dyDescent="0.35">
      <c r="AF183" s="230">
        <f t="shared" si="117"/>
        <v>177</v>
      </c>
      <c r="AG183" s="270">
        <f t="shared" si="118"/>
        <v>2035</v>
      </c>
      <c r="AH183" s="231" t="s">
        <v>116</v>
      </c>
      <c r="AI183" s="312">
        <f t="shared" si="122"/>
        <v>49553</v>
      </c>
      <c r="AJ183" s="91">
        <f t="shared" si="119"/>
        <v>4365565.6123699108</v>
      </c>
      <c r="AK183" s="93">
        <f t="shared" si="120"/>
        <v>1083066.2292224199</v>
      </c>
      <c r="AL183" s="94">
        <f t="shared" si="121"/>
        <v>6028638.2266060701</v>
      </c>
      <c r="AM183" s="102">
        <f t="shared" si="93"/>
        <v>5.5662692307692856</v>
      </c>
      <c r="AN183" s="235">
        <f t="shared" si="91"/>
        <v>0.22807017543859426</v>
      </c>
      <c r="AO183" s="388">
        <f t="shared" si="94"/>
        <v>449.13386262031162</v>
      </c>
      <c r="AP183" s="389">
        <f t="shared" si="92"/>
        <v>14.971128754010387</v>
      </c>
    </row>
    <row r="184" spans="32:42" x14ac:dyDescent="0.35">
      <c r="AF184" s="230">
        <f t="shared" si="117"/>
        <v>178</v>
      </c>
      <c r="AG184" s="270">
        <f t="shared" si="118"/>
        <v>2035</v>
      </c>
      <c r="AH184" s="231" t="s">
        <v>117</v>
      </c>
      <c r="AI184" s="312">
        <f>AI183+30</f>
        <v>49583</v>
      </c>
      <c r="AJ184" s="91">
        <f t="shared" si="119"/>
        <v>4367072.3143099472</v>
      </c>
      <c r="AK184" s="93">
        <f t="shared" si="120"/>
        <v>1062604.6461934587</v>
      </c>
      <c r="AL184" s="94">
        <f t="shared" si="121"/>
        <v>6030718.910237547</v>
      </c>
      <c r="AM184" s="102">
        <f t="shared" si="93"/>
        <v>5.675411764705939</v>
      </c>
      <c r="AN184" s="235">
        <f t="shared" si="91"/>
        <v>0.22368421052631357</v>
      </c>
      <c r="AO184" s="388">
        <f t="shared" si="94"/>
        <v>440.49667295453634</v>
      </c>
      <c r="AP184" s="389">
        <f t="shared" si="92"/>
        <v>14.683222431817878</v>
      </c>
    </row>
    <row r="185" spans="32:42" x14ac:dyDescent="0.35">
      <c r="AF185" s="230">
        <f t="shared" si="117"/>
        <v>179</v>
      </c>
      <c r="AG185" s="270">
        <f t="shared" si="118"/>
        <v>2035</v>
      </c>
      <c r="AH185" s="231" t="s">
        <v>118</v>
      </c>
      <c r="AI185" s="312">
        <f t="shared" si="122"/>
        <v>49614</v>
      </c>
      <c r="AJ185" s="91">
        <f t="shared" si="119"/>
        <v>4368579.0162499817</v>
      </c>
      <c r="AK185" s="93">
        <f t="shared" si="120"/>
        <v>1042128.6861571698</v>
      </c>
      <c r="AL185" s="94">
        <f t="shared" si="121"/>
        <v>6032799.593869024</v>
      </c>
      <c r="AM185" s="102">
        <f t="shared" si="93"/>
        <v>5.7889200000000587</v>
      </c>
      <c r="AN185" s="235">
        <f t="shared" si="91"/>
        <v>0.21929824561403288</v>
      </c>
      <c r="AO185" s="388">
        <f t="shared" si="94"/>
        <v>431.85948328876106</v>
      </c>
      <c r="AP185" s="389">
        <f t="shared" si="92"/>
        <v>14.395316109625368</v>
      </c>
    </row>
    <row r="186" spans="32:42" ht="15" thickBot="1" x14ac:dyDescent="0.4">
      <c r="AF186" s="236">
        <f t="shared" si="117"/>
        <v>180</v>
      </c>
      <c r="AG186" s="272">
        <f t="shared" si="118"/>
        <v>2035</v>
      </c>
      <c r="AH186" s="237" t="s">
        <v>119</v>
      </c>
      <c r="AI186" s="313">
        <f>AI185+30</f>
        <v>49644</v>
      </c>
      <c r="AJ186" s="238">
        <f t="shared" si="119"/>
        <v>4370085.7181900162</v>
      </c>
      <c r="AK186" s="239">
        <f t="shared" si="120"/>
        <v>1021638.3491135532</v>
      </c>
      <c r="AL186" s="240">
        <f t="shared" si="121"/>
        <v>6034880.2775005009</v>
      </c>
      <c r="AM186" s="241">
        <f t="shared" si="93"/>
        <v>5.9070612244898566</v>
      </c>
      <c r="AN186" s="242">
        <f t="shared" si="91"/>
        <v>0.2149122807017522</v>
      </c>
      <c r="AO186" s="390">
        <f t="shared" si="94"/>
        <v>423.22229362298577</v>
      </c>
      <c r="AP186" s="389">
        <f t="shared" si="92"/>
        <v>14.107409787432859</v>
      </c>
    </row>
    <row r="187" spans="32:42" x14ac:dyDescent="0.35">
      <c r="AF187" s="230">
        <f>AF186+1</f>
        <v>181</v>
      </c>
      <c r="AG187" s="269">
        <f>AG175+1</f>
        <v>2036</v>
      </c>
      <c r="AH187" s="243" t="s">
        <v>108</v>
      </c>
      <c r="AI187" s="314">
        <f>AI186+31</f>
        <v>49675</v>
      </c>
      <c r="AJ187" s="232">
        <f>AL175</f>
        <v>6011992.7575542545</v>
      </c>
      <c r="AK187" s="93">
        <f>AL187/AM187</f>
        <v>1376799.935791204</v>
      </c>
      <c r="AL187" s="233">
        <f t="shared" ref="AL187" si="123">AJ187/$L$6*$M$6</f>
        <v>8302275.7128130207</v>
      </c>
      <c r="AM187" s="244">
        <f t="shared" si="93"/>
        <v>6.030125000000063</v>
      </c>
      <c r="AN187" s="245">
        <f t="shared" si="91"/>
        <v>0.21052631578947151</v>
      </c>
      <c r="AO187" s="392">
        <f t="shared" si="94"/>
        <v>414.58510395721049</v>
      </c>
      <c r="AP187" s="398">
        <f t="shared" si="92"/>
        <v>13.819503465240349</v>
      </c>
    </row>
    <row r="188" spans="32:42" x14ac:dyDescent="0.35">
      <c r="AF188" s="230">
        <f t="shared" ref="AF188:AF198" si="124">AF187+1</f>
        <v>182</v>
      </c>
      <c r="AG188" s="269">
        <f>AG187</f>
        <v>2036</v>
      </c>
      <c r="AH188" s="243" t="s">
        <v>109</v>
      </c>
      <c r="AI188" s="314">
        <f>AI187+31</f>
        <v>49706</v>
      </c>
      <c r="AJ188" s="91">
        <f>AL188/$AL$6*$AJ$6</f>
        <v>6013499.459494289</v>
      </c>
      <c r="AK188" s="93">
        <f>AL188/AM188</f>
        <v>1348454.463467753</v>
      </c>
      <c r="AL188" s="94">
        <f>AL187+($AL$19-$AL$7)/12</f>
        <v>8304356.3964444976</v>
      </c>
      <c r="AM188" s="102">
        <f t="shared" si="93"/>
        <v>6.1584255319149586</v>
      </c>
      <c r="AN188" s="235">
        <f t="shared" si="91"/>
        <v>0.20614035087719082</v>
      </c>
      <c r="AO188" s="394">
        <f t="shared" si="94"/>
        <v>405.94791429143521</v>
      </c>
      <c r="AP188" s="395">
        <f t="shared" si="92"/>
        <v>13.53159714304784</v>
      </c>
    </row>
    <row r="189" spans="32:42" x14ac:dyDescent="0.35">
      <c r="AF189" s="230">
        <f t="shared" si="124"/>
        <v>183</v>
      </c>
      <c r="AG189" s="270">
        <f t="shared" ref="AG189:AG198" si="125">AG188</f>
        <v>2036</v>
      </c>
      <c r="AH189" s="243" t="s">
        <v>110</v>
      </c>
      <c r="AI189" s="314">
        <f>AI188+29</f>
        <v>49735</v>
      </c>
      <c r="AJ189" s="91">
        <f t="shared" ref="AJ189:AJ198" si="126">AL189/$AL$6*$AJ$6</f>
        <v>6015006.1614343254</v>
      </c>
      <c r="AK189" s="93">
        <f t="shared" ref="AK189:AK198" si="127">AL189/AM189</f>
        <v>1320094.6141369746</v>
      </c>
      <c r="AL189" s="94">
        <f t="shared" ref="AL189:AL198" si="128">AL188+($AL$19-$AL$7)/12</f>
        <v>8306437.0800759746</v>
      </c>
      <c r="AM189" s="102">
        <f t="shared" si="93"/>
        <v>6.2923043478261542</v>
      </c>
      <c r="AN189" s="235">
        <f t="shared" si="91"/>
        <v>0.20175438596491013</v>
      </c>
      <c r="AO189" s="394">
        <f t="shared" si="94"/>
        <v>397.31072462565993</v>
      </c>
      <c r="AP189" s="395">
        <f t="shared" si="92"/>
        <v>13.243690820855331</v>
      </c>
    </row>
    <row r="190" spans="32:42" x14ac:dyDescent="0.35">
      <c r="AF190" s="230">
        <f t="shared" si="124"/>
        <v>184</v>
      </c>
      <c r="AG190" s="270">
        <f t="shared" si="125"/>
        <v>2036</v>
      </c>
      <c r="AH190" s="243" t="s">
        <v>111</v>
      </c>
      <c r="AI190" s="314">
        <f>AI189+31</f>
        <v>49766</v>
      </c>
      <c r="AJ190" s="91">
        <f t="shared" si="126"/>
        <v>6016512.8633743599</v>
      </c>
      <c r="AK190" s="93">
        <f t="shared" si="127"/>
        <v>1291720.3877988684</v>
      </c>
      <c r="AL190" s="94">
        <f t="shared" si="128"/>
        <v>8308517.7637074515</v>
      </c>
      <c r="AM190" s="102">
        <f t="shared" si="93"/>
        <v>6.432133333333403</v>
      </c>
      <c r="AN190" s="235">
        <f t="shared" si="91"/>
        <v>0.19736842105262944</v>
      </c>
      <c r="AO190" s="394">
        <f t="shared" si="94"/>
        <v>388.67353495988471</v>
      </c>
      <c r="AP190" s="395">
        <f t="shared" si="92"/>
        <v>12.955784498662823</v>
      </c>
    </row>
    <row r="191" spans="32:42" x14ac:dyDescent="0.35">
      <c r="AF191" s="230">
        <f t="shared" si="124"/>
        <v>185</v>
      </c>
      <c r="AG191" s="270">
        <f t="shared" si="125"/>
        <v>2036</v>
      </c>
      <c r="AH191" s="243" t="s">
        <v>112</v>
      </c>
      <c r="AI191" s="314">
        <f t="shared" ref="AI191:AI198" si="129">AI190+30</f>
        <v>49796</v>
      </c>
      <c r="AJ191" s="91">
        <f t="shared" si="126"/>
        <v>6018019.5653143944</v>
      </c>
      <c r="AK191" s="93">
        <f t="shared" si="127"/>
        <v>1263331.7844534346</v>
      </c>
      <c r="AL191" s="94">
        <f t="shared" si="128"/>
        <v>8310598.4473389285</v>
      </c>
      <c r="AM191" s="102">
        <f t="shared" si="93"/>
        <v>6.5783181818182541</v>
      </c>
      <c r="AN191" s="235">
        <f t="shared" si="91"/>
        <v>0.19298245614034876</v>
      </c>
      <c r="AO191" s="394">
        <f t="shared" si="94"/>
        <v>380.03634529410942</v>
      </c>
      <c r="AP191" s="395">
        <f t="shared" si="92"/>
        <v>12.667878176470312</v>
      </c>
    </row>
    <row r="192" spans="32:42" x14ac:dyDescent="0.35">
      <c r="AF192" s="230">
        <f t="shared" si="124"/>
        <v>186</v>
      </c>
      <c r="AG192" s="273">
        <f t="shared" si="125"/>
        <v>2036</v>
      </c>
      <c r="AH192" s="243" t="s">
        <v>113</v>
      </c>
      <c r="AI192" s="314">
        <f>AI191+31</f>
        <v>49827</v>
      </c>
      <c r="AJ192" s="91">
        <f t="shared" si="126"/>
        <v>6019526.2672544299</v>
      </c>
      <c r="AK192" s="93">
        <f t="shared" si="127"/>
        <v>1234928.8041006732</v>
      </c>
      <c r="AL192" s="94">
        <f t="shared" si="128"/>
        <v>8312679.1309704054</v>
      </c>
      <c r="AM192" s="102">
        <f t="shared" si="93"/>
        <v>6.7313023255814706</v>
      </c>
      <c r="AN192" s="235">
        <f t="shared" si="91"/>
        <v>0.18859649122806807</v>
      </c>
      <c r="AO192" s="394">
        <f t="shared" si="94"/>
        <v>371.39915562833414</v>
      </c>
      <c r="AP192" s="395">
        <f t="shared" si="92"/>
        <v>12.379971854277803</v>
      </c>
    </row>
    <row r="193" spans="32:42" x14ac:dyDescent="0.35">
      <c r="AF193" s="230">
        <f t="shared" si="124"/>
        <v>187</v>
      </c>
      <c r="AG193" s="270">
        <f t="shared" si="125"/>
        <v>2036</v>
      </c>
      <c r="AH193" s="243" t="s">
        <v>114</v>
      </c>
      <c r="AI193" s="314">
        <f t="shared" si="129"/>
        <v>49857</v>
      </c>
      <c r="AJ193" s="91">
        <f t="shared" si="126"/>
        <v>6021032.9691944653</v>
      </c>
      <c r="AK193" s="93">
        <f t="shared" si="127"/>
        <v>1206511.446740584</v>
      </c>
      <c r="AL193" s="94">
        <f t="shared" si="128"/>
        <v>8314759.8146018824</v>
      </c>
      <c r="AM193" s="102">
        <f t="shared" si="93"/>
        <v>6.8915714285715071</v>
      </c>
      <c r="AN193" s="235">
        <f t="shared" si="91"/>
        <v>0.18421052631578738</v>
      </c>
      <c r="AO193" s="394">
        <f t="shared" si="94"/>
        <v>362.76196596255886</v>
      </c>
      <c r="AP193" s="395">
        <f t="shared" si="92"/>
        <v>12.092065532085293</v>
      </c>
    </row>
    <row r="194" spans="32:42" x14ac:dyDescent="0.35">
      <c r="AF194" s="230">
        <f t="shared" si="124"/>
        <v>188</v>
      </c>
      <c r="AG194" s="270">
        <f t="shared" si="125"/>
        <v>2036</v>
      </c>
      <c r="AH194" s="243" t="s">
        <v>115</v>
      </c>
      <c r="AI194" s="314">
        <f>AI193+31</f>
        <v>49888</v>
      </c>
      <c r="AJ194" s="91">
        <f t="shared" si="126"/>
        <v>6022539.6711344998</v>
      </c>
      <c r="AK194" s="93">
        <f t="shared" si="127"/>
        <v>1178079.7123731673</v>
      </c>
      <c r="AL194" s="94">
        <f t="shared" si="128"/>
        <v>8316840.4982333593</v>
      </c>
      <c r="AM194" s="102">
        <f t="shared" si="93"/>
        <v>7.0596585365854478</v>
      </c>
      <c r="AN194" s="235">
        <f t="shared" si="91"/>
        <v>0.17982456140350669</v>
      </c>
      <c r="AO194" s="394">
        <f t="shared" si="94"/>
        <v>354.12477629678352</v>
      </c>
      <c r="AP194" s="395">
        <f t="shared" si="92"/>
        <v>11.804159209892784</v>
      </c>
    </row>
    <row r="195" spans="32:42" x14ac:dyDescent="0.35">
      <c r="AF195" s="230">
        <f t="shared" si="124"/>
        <v>189</v>
      </c>
      <c r="AG195" s="270">
        <f t="shared" si="125"/>
        <v>2036</v>
      </c>
      <c r="AH195" s="243" t="s">
        <v>116</v>
      </c>
      <c r="AI195" s="314">
        <f>AI194+31</f>
        <v>49919</v>
      </c>
      <c r="AJ195" s="91">
        <f t="shared" si="126"/>
        <v>6024046.3730745343</v>
      </c>
      <c r="AK195" s="93">
        <f t="shared" si="127"/>
        <v>1149633.6009984228</v>
      </c>
      <c r="AL195" s="94">
        <f t="shared" si="128"/>
        <v>8318921.1818648363</v>
      </c>
      <c r="AM195" s="102">
        <f t="shared" si="93"/>
        <v>7.2361500000000856</v>
      </c>
      <c r="AN195" s="235">
        <f t="shared" si="91"/>
        <v>0.17543859649122601</v>
      </c>
      <c r="AO195" s="394">
        <f t="shared" si="94"/>
        <v>345.48758663100824</v>
      </c>
      <c r="AP195" s="395">
        <f t="shared" si="92"/>
        <v>11.516252887700274</v>
      </c>
    </row>
    <row r="196" spans="32:42" x14ac:dyDescent="0.35">
      <c r="AF196" s="230">
        <f t="shared" si="124"/>
        <v>190</v>
      </c>
      <c r="AG196" s="270">
        <f t="shared" si="125"/>
        <v>2036</v>
      </c>
      <c r="AH196" s="243" t="s">
        <v>117</v>
      </c>
      <c r="AI196" s="314">
        <f t="shared" si="129"/>
        <v>49949</v>
      </c>
      <c r="AJ196" s="91">
        <f t="shared" si="126"/>
        <v>6025553.0750145698</v>
      </c>
      <c r="AK196" s="93">
        <f t="shared" si="127"/>
        <v>1121173.1126163509</v>
      </c>
      <c r="AL196" s="94">
        <f t="shared" si="128"/>
        <v>8321001.8654963132</v>
      </c>
      <c r="AM196" s="102">
        <f t="shared" si="93"/>
        <v>7.4216923076923971</v>
      </c>
      <c r="AN196" s="235">
        <f t="shared" si="91"/>
        <v>0.17105263157894532</v>
      </c>
      <c r="AO196" s="394">
        <f t="shared" si="94"/>
        <v>336.85039696523296</v>
      </c>
      <c r="AP196" s="395">
        <f t="shared" si="92"/>
        <v>11.228346565507765</v>
      </c>
    </row>
    <row r="197" spans="32:42" x14ac:dyDescent="0.35">
      <c r="AF197" s="230">
        <f t="shared" si="124"/>
        <v>191</v>
      </c>
      <c r="AG197" s="270">
        <f t="shared" si="125"/>
        <v>2036</v>
      </c>
      <c r="AH197" s="243" t="s">
        <v>118</v>
      </c>
      <c r="AI197" s="314">
        <f>AI196+31</f>
        <v>49980</v>
      </c>
      <c r="AJ197" s="91">
        <f t="shared" si="126"/>
        <v>6027059.7769546052</v>
      </c>
      <c r="AK197" s="93">
        <f t="shared" si="127"/>
        <v>1092698.2472269514</v>
      </c>
      <c r="AL197" s="94">
        <f t="shared" si="128"/>
        <v>8323082.5491277901</v>
      </c>
      <c r="AM197" s="102">
        <f t="shared" si="93"/>
        <v>7.6170000000000933</v>
      </c>
      <c r="AN197" s="235">
        <f t="shared" si="91"/>
        <v>0.16666666666666463</v>
      </c>
      <c r="AO197" s="394">
        <f t="shared" si="94"/>
        <v>328.21320729945774</v>
      </c>
      <c r="AP197" s="395">
        <f t="shared" si="92"/>
        <v>10.940440243315257</v>
      </c>
    </row>
    <row r="198" spans="32:42" ht="15" thickBot="1" x14ac:dyDescent="0.4">
      <c r="AF198" s="236">
        <f t="shared" si="124"/>
        <v>192</v>
      </c>
      <c r="AG198" s="272">
        <f t="shared" si="125"/>
        <v>2036</v>
      </c>
      <c r="AH198" s="246" t="s">
        <v>119</v>
      </c>
      <c r="AI198" s="315">
        <f t="shared" si="129"/>
        <v>50010</v>
      </c>
      <c r="AJ198" s="238">
        <f t="shared" si="126"/>
        <v>6028566.4788946398</v>
      </c>
      <c r="AK198" s="239">
        <f t="shared" si="127"/>
        <v>1064209.004830224</v>
      </c>
      <c r="AL198" s="240">
        <f t="shared" si="128"/>
        <v>8325163.2327592671</v>
      </c>
      <c r="AM198" s="241">
        <f t="shared" si="93"/>
        <v>7.8228648648649628</v>
      </c>
      <c r="AN198" s="242">
        <f t="shared" si="91"/>
        <v>0.16228070175438394</v>
      </c>
      <c r="AO198" s="396">
        <f t="shared" si="94"/>
        <v>319.5760176336824</v>
      </c>
      <c r="AP198" s="395">
        <f t="shared" si="92"/>
        <v>10.652533921122746</v>
      </c>
    </row>
    <row r="199" spans="32:42" x14ac:dyDescent="0.35">
      <c r="AF199" s="230">
        <f>AF198+1</f>
        <v>193</v>
      </c>
      <c r="AG199" s="269">
        <f>AG187+1</f>
        <v>2037</v>
      </c>
      <c r="AH199" s="231" t="s">
        <v>108</v>
      </c>
      <c r="AI199" s="312">
        <v>50041</v>
      </c>
      <c r="AJ199" s="232">
        <f>AL187</f>
        <v>8302275.7128130207</v>
      </c>
      <c r="AK199" s="93">
        <f>AL199/AM199</f>
        <v>1425971.3620694582</v>
      </c>
      <c r="AL199" s="233">
        <f t="shared" ref="AL199" si="130">AJ199/$L$6*$M$6</f>
        <v>11465047.412932269</v>
      </c>
      <c r="AM199" s="244">
        <f t="shared" si="93"/>
        <v>8.040166666666769</v>
      </c>
      <c r="AN199" s="245">
        <f t="shared" si="91"/>
        <v>0.15789473684210326</v>
      </c>
      <c r="AO199" s="386">
        <f t="shared" si="94"/>
        <v>310.93882796790717</v>
      </c>
      <c r="AP199" s="397">
        <f t="shared" si="92"/>
        <v>10.364627598930237</v>
      </c>
    </row>
    <row r="200" spans="32:42" x14ac:dyDescent="0.35">
      <c r="AF200" s="230">
        <f t="shared" ref="AF200:AF210" si="131">AF199+1</f>
        <v>194</v>
      </c>
      <c r="AG200" s="269">
        <f>AG199</f>
        <v>2037</v>
      </c>
      <c r="AH200" s="231" t="s">
        <v>109</v>
      </c>
      <c r="AI200" s="312">
        <f>AI199+31</f>
        <v>50072</v>
      </c>
      <c r="AJ200" s="91">
        <f>AL200/$AL$6*$AJ$6</f>
        <v>8303782.4147530552</v>
      </c>
      <c r="AK200" s="93">
        <f>AL200/AM200</f>
        <v>1386612.644084651</v>
      </c>
      <c r="AL200" s="94">
        <f>AL199+($AL$19-$AL$7)/12</f>
        <v>11467128.096563747</v>
      </c>
      <c r="AM200" s="102">
        <f t="shared" si="93"/>
        <v>8.269885714285822</v>
      </c>
      <c r="AN200" s="235">
        <f t="shared" ref="AN200:AN235" si="132">AN199-($P$7-$P$8)/12</f>
        <v>0.15350877192982257</v>
      </c>
      <c r="AO200" s="388">
        <f t="shared" si="94"/>
        <v>302.30163830213189</v>
      </c>
      <c r="AP200" s="389">
        <f t="shared" ref="AP200:AP235" si="133">$AP$6/AM200</f>
        <v>10.076721276737729</v>
      </c>
    </row>
    <row r="201" spans="32:42" x14ac:dyDescent="0.35">
      <c r="AF201" s="230">
        <f t="shared" si="131"/>
        <v>195</v>
      </c>
      <c r="AG201" s="270">
        <f t="shared" ref="AG201:AG210" si="134">AG200</f>
        <v>2037</v>
      </c>
      <c r="AH201" s="231" t="s">
        <v>110</v>
      </c>
      <c r="AI201" s="312">
        <f>AI200+28</f>
        <v>50100</v>
      </c>
      <c r="AJ201" s="91">
        <f t="shared" ref="AJ201:AJ210" si="135">AL201/$AL$6*$AJ$6</f>
        <v>8305289.1166930916</v>
      </c>
      <c r="AK201" s="93">
        <f t="shared" ref="AK201:AK210" si="136">AL201/AM201</f>
        <v>1347239.5490925161</v>
      </c>
      <c r="AL201" s="94">
        <f t="shared" ref="AL201:AL210" si="137">AL200+($AL$19-$AL$7)/12</f>
        <v>11469208.780195225</v>
      </c>
      <c r="AM201" s="102">
        <f t="shared" ref="AM201:AM234" si="138">$O$6/AN201</f>
        <v>8.5131176470589374</v>
      </c>
      <c r="AN201" s="235">
        <f t="shared" si="132"/>
        <v>0.14912280701754188</v>
      </c>
      <c r="AO201" s="388">
        <f t="shared" ref="AO201:AO235" si="139">$AO$6/AM201</f>
        <v>293.66444863635655</v>
      </c>
      <c r="AP201" s="389">
        <f t="shared" si="133"/>
        <v>9.7888149545452183</v>
      </c>
    </row>
    <row r="202" spans="32:42" x14ac:dyDescent="0.35">
      <c r="AF202" s="230">
        <f t="shared" si="131"/>
        <v>196</v>
      </c>
      <c r="AG202" s="270">
        <f t="shared" si="134"/>
        <v>2037</v>
      </c>
      <c r="AH202" s="231" t="s">
        <v>111</v>
      </c>
      <c r="AI202" s="312">
        <f t="shared" ref="AI202:AI209" si="140">AI201+31</f>
        <v>50131</v>
      </c>
      <c r="AJ202" s="91">
        <f t="shared" si="135"/>
        <v>8306795.818633127</v>
      </c>
      <c r="AK202" s="93">
        <f t="shared" si="136"/>
        <v>1307852.0770930536</v>
      </c>
      <c r="AL202" s="94">
        <f t="shared" si="137"/>
        <v>11471289.463826703</v>
      </c>
      <c r="AM202" s="102">
        <f t="shared" si="138"/>
        <v>8.7710909090910292</v>
      </c>
      <c r="AN202" s="235">
        <f t="shared" si="132"/>
        <v>0.14473684210526119</v>
      </c>
      <c r="AO202" s="388">
        <f t="shared" si="139"/>
        <v>285.02725897058127</v>
      </c>
      <c r="AP202" s="389">
        <f t="shared" si="133"/>
        <v>9.5009086323527097</v>
      </c>
    </row>
    <row r="203" spans="32:42" x14ac:dyDescent="0.35">
      <c r="AF203" s="230">
        <f t="shared" si="131"/>
        <v>197</v>
      </c>
      <c r="AG203" s="270">
        <f t="shared" si="134"/>
        <v>2037</v>
      </c>
      <c r="AH203" s="231" t="s">
        <v>112</v>
      </c>
      <c r="AI203" s="312">
        <f>AI202+30</f>
        <v>50161</v>
      </c>
      <c r="AJ203" s="91">
        <f t="shared" si="135"/>
        <v>8308302.5205731625</v>
      </c>
      <c r="AK203" s="93">
        <f t="shared" si="136"/>
        <v>1268450.2280862636</v>
      </c>
      <c r="AL203" s="94">
        <f t="shared" si="137"/>
        <v>11473370.147458181</v>
      </c>
      <c r="AM203" s="102">
        <f t="shared" si="138"/>
        <v>9.0451875000001269</v>
      </c>
      <c r="AN203" s="235">
        <f t="shared" si="132"/>
        <v>0.14035087719298051</v>
      </c>
      <c r="AO203" s="388">
        <f t="shared" si="139"/>
        <v>276.39006930480599</v>
      </c>
      <c r="AP203" s="389">
        <f t="shared" si="133"/>
        <v>9.2130023101601992</v>
      </c>
    </row>
    <row r="204" spans="32:42" x14ac:dyDescent="0.35">
      <c r="AF204" s="230">
        <f t="shared" si="131"/>
        <v>198</v>
      </c>
      <c r="AG204" s="273">
        <f t="shared" si="134"/>
        <v>2037</v>
      </c>
      <c r="AH204" s="231" t="s">
        <v>113</v>
      </c>
      <c r="AI204" s="312">
        <f t="shared" si="140"/>
        <v>50192</v>
      </c>
      <c r="AJ204" s="91">
        <f t="shared" si="135"/>
        <v>8309809.2225131979</v>
      </c>
      <c r="AK204" s="93">
        <f t="shared" si="136"/>
        <v>1229034.0020721459</v>
      </c>
      <c r="AL204" s="94">
        <f t="shared" si="137"/>
        <v>11475450.831089659</v>
      </c>
      <c r="AM204" s="102">
        <f t="shared" si="138"/>
        <v>9.3369677419356165</v>
      </c>
      <c r="AN204" s="235">
        <f t="shared" si="132"/>
        <v>0.13596491228069982</v>
      </c>
      <c r="AO204" s="388">
        <f t="shared" si="139"/>
        <v>267.75287963903077</v>
      </c>
      <c r="AP204" s="389">
        <f t="shared" si="133"/>
        <v>8.9250959879676923</v>
      </c>
    </row>
    <row r="205" spans="32:42" x14ac:dyDescent="0.35">
      <c r="AF205" s="230">
        <f t="shared" si="131"/>
        <v>199</v>
      </c>
      <c r="AG205" s="270">
        <f t="shared" si="134"/>
        <v>2037</v>
      </c>
      <c r="AH205" s="231" t="s">
        <v>114</v>
      </c>
      <c r="AI205" s="312">
        <f>AI204+30</f>
        <v>50222</v>
      </c>
      <c r="AJ205" s="91">
        <f t="shared" si="135"/>
        <v>8311315.9244532352</v>
      </c>
      <c r="AK205" s="93">
        <f t="shared" si="136"/>
        <v>1189603.3990507005</v>
      </c>
      <c r="AL205" s="94">
        <f t="shared" si="137"/>
        <v>11477531.514721137</v>
      </c>
      <c r="AM205" s="102">
        <f t="shared" si="138"/>
        <v>9.6482000000001413</v>
      </c>
      <c r="AN205" s="235">
        <f t="shared" si="132"/>
        <v>0.13157894736841913</v>
      </c>
      <c r="AO205" s="388">
        <f t="shared" si="139"/>
        <v>259.11568997325548</v>
      </c>
      <c r="AP205" s="389">
        <f t="shared" si="133"/>
        <v>8.6371896657751819</v>
      </c>
    </row>
    <row r="206" spans="32:42" x14ac:dyDescent="0.35">
      <c r="AF206" s="230">
        <f t="shared" si="131"/>
        <v>200</v>
      </c>
      <c r="AG206" s="270">
        <f t="shared" si="134"/>
        <v>2037</v>
      </c>
      <c r="AH206" s="231" t="s">
        <v>115</v>
      </c>
      <c r="AI206" s="312">
        <f t="shared" si="140"/>
        <v>50253</v>
      </c>
      <c r="AJ206" s="91">
        <f t="shared" si="135"/>
        <v>8312822.6263932707</v>
      </c>
      <c r="AK206" s="93">
        <f t="shared" si="136"/>
        <v>1150158.4190219273</v>
      </c>
      <c r="AL206" s="94">
        <f t="shared" si="137"/>
        <v>11479612.198352614</v>
      </c>
      <c r="AM206" s="102">
        <f t="shared" si="138"/>
        <v>9.9808965517242889</v>
      </c>
      <c r="AN206" s="235">
        <f t="shared" si="132"/>
        <v>0.12719298245613844</v>
      </c>
      <c r="AO206" s="388">
        <f t="shared" si="139"/>
        <v>250.47850030748018</v>
      </c>
      <c r="AP206" s="389">
        <f t="shared" si="133"/>
        <v>8.3492833435826714</v>
      </c>
    </row>
    <row r="207" spans="32:42" x14ac:dyDescent="0.35">
      <c r="AF207" s="230">
        <f t="shared" si="131"/>
        <v>201</v>
      </c>
      <c r="AG207" s="270">
        <f t="shared" si="134"/>
        <v>2037</v>
      </c>
      <c r="AH207" s="231" t="s">
        <v>116</v>
      </c>
      <c r="AI207" s="312">
        <f t="shared" si="140"/>
        <v>50284</v>
      </c>
      <c r="AJ207" s="91">
        <f t="shared" si="135"/>
        <v>8314329.3283333061</v>
      </c>
      <c r="AK207" s="93">
        <f t="shared" si="136"/>
        <v>1110699.0619858266</v>
      </c>
      <c r="AL207" s="94">
        <f t="shared" si="137"/>
        <v>11481692.881984092</v>
      </c>
      <c r="AM207" s="102">
        <f t="shared" si="138"/>
        <v>10.337357142857304</v>
      </c>
      <c r="AN207" s="235">
        <f t="shared" si="132"/>
        <v>0.12280701754385774</v>
      </c>
      <c r="AO207" s="388">
        <f t="shared" si="139"/>
        <v>241.84131064170489</v>
      </c>
      <c r="AP207" s="389">
        <f t="shared" si="133"/>
        <v>8.0613770213901628</v>
      </c>
    </row>
    <row r="208" spans="32:42" x14ac:dyDescent="0.35">
      <c r="AF208" s="230">
        <f t="shared" si="131"/>
        <v>202</v>
      </c>
      <c r="AG208" s="270">
        <f t="shared" si="134"/>
        <v>2037</v>
      </c>
      <c r="AH208" s="231" t="s">
        <v>117</v>
      </c>
      <c r="AI208" s="312">
        <f>AI207+30</f>
        <v>50314</v>
      </c>
      <c r="AJ208" s="91">
        <f t="shared" si="135"/>
        <v>8315836.0302733416</v>
      </c>
      <c r="AK208" s="93">
        <f t="shared" si="136"/>
        <v>1071225.3279423981</v>
      </c>
      <c r="AL208" s="94">
        <f t="shared" si="137"/>
        <v>11483773.56561557</v>
      </c>
      <c r="AM208" s="102">
        <f t="shared" si="138"/>
        <v>10.720222222222395</v>
      </c>
      <c r="AN208" s="235">
        <f t="shared" si="132"/>
        <v>0.11842105263157704</v>
      </c>
      <c r="AO208" s="388">
        <f t="shared" si="139"/>
        <v>233.20412097592958</v>
      </c>
      <c r="AP208" s="389">
        <f t="shared" si="133"/>
        <v>7.7734706991976523</v>
      </c>
    </row>
    <row r="209" spans="32:42" x14ac:dyDescent="0.35">
      <c r="AF209" s="230">
        <f t="shared" si="131"/>
        <v>203</v>
      </c>
      <c r="AG209" s="270">
        <f t="shared" si="134"/>
        <v>2037</v>
      </c>
      <c r="AH209" s="231" t="s">
        <v>118</v>
      </c>
      <c r="AI209" s="312">
        <f t="shared" si="140"/>
        <v>50345</v>
      </c>
      <c r="AJ209" s="91">
        <f t="shared" si="135"/>
        <v>8317342.732213378</v>
      </c>
      <c r="AK209" s="93">
        <f t="shared" si="136"/>
        <v>1031737.2168916422</v>
      </c>
      <c r="AL209" s="94">
        <f t="shared" si="137"/>
        <v>11485854.249247048</v>
      </c>
      <c r="AM209" s="102">
        <f t="shared" si="138"/>
        <v>11.132538461538648</v>
      </c>
      <c r="AN209" s="235">
        <f t="shared" si="132"/>
        <v>0.11403508771929634</v>
      </c>
      <c r="AO209" s="388">
        <f t="shared" si="139"/>
        <v>224.56693131015427</v>
      </c>
      <c r="AP209" s="389">
        <f t="shared" si="133"/>
        <v>7.4855643770051419</v>
      </c>
    </row>
    <row r="210" spans="32:42" ht="15" thickBot="1" x14ac:dyDescent="0.4">
      <c r="AF210" s="236">
        <f t="shared" si="131"/>
        <v>204</v>
      </c>
      <c r="AG210" s="272">
        <f t="shared" si="134"/>
        <v>2037</v>
      </c>
      <c r="AH210" s="237" t="s">
        <v>119</v>
      </c>
      <c r="AI210" s="313">
        <f>AI209+30</f>
        <v>50375</v>
      </c>
      <c r="AJ210" s="238">
        <f t="shared" si="135"/>
        <v>8318849.4341534134</v>
      </c>
      <c r="AK210" s="239">
        <f t="shared" si="136"/>
        <v>992234.72883355827</v>
      </c>
      <c r="AL210" s="240">
        <f t="shared" si="137"/>
        <v>11487934.932878526</v>
      </c>
      <c r="AM210" s="241">
        <f t="shared" si="138"/>
        <v>11.577840000000203</v>
      </c>
      <c r="AN210" s="242">
        <f t="shared" si="132"/>
        <v>0.10964912280701564</v>
      </c>
      <c r="AO210" s="390">
        <f t="shared" si="139"/>
        <v>215.92974164437894</v>
      </c>
      <c r="AP210" s="389">
        <f t="shared" si="133"/>
        <v>7.1976580548126305</v>
      </c>
    </row>
    <row r="211" spans="32:42" x14ac:dyDescent="0.35">
      <c r="AF211" s="230">
        <f>AF210+1</f>
        <v>205</v>
      </c>
      <c r="AG211" s="269">
        <f>AG199+1</f>
        <v>2038</v>
      </c>
      <c r="AH211" s="243" t="s">
        <v>108</v>
      </c>
      <c r="AI211" s="314">
        <f>AI210+31</f>
        <v>50406</v>
      </c>
      <c r="AJ211" s="232">
        <f>AL199</f>
        <v>11465047.412932269</v>
      </c>
      <c r="AK211" s="93">
        <f>AL211/AM211</f>
        <v>1312799.0317464788</v>
      </c>
      <c r="AL211" s="233">
        <f t="shared" ref="AL211" si="141">AJ211/$L$6*$M$6</f>
        <v>15832684.522620756</v>
      </c>
      <c r="AM211" s="244">
        <f t="shared" si="138"/>
        <v>12.060250000000218</v>
      </c>
      <c r="AN211" s="245">
        <f t="shared" si="132"/>
        <v>0.10526315789473494</v>
      </c>
      <c r="AO211" s="392">
        <f t="shared" si="139"/>
        <v>207.29255197860365</v>
      </c>
      <c r="AP211" s="398">
        <f t="shared" si="133"/>
        <v>6.909751732620121</v>
      </c>
    </row>
    <row r="212" spans="32:42" x14ac:dyDescent="0.35">
      <c r="AF212" s="230">
        <f t="shared" ref="AF212:AF222" si="142">AF211+1</f>
        <v>206</v>
      </c>
      <c r="AG212" s="269">
        <f>AG211</f>
        <v>2038</v>
      </c>
      <c r="AH212" s="243" t="s">
        <v>109</v>
      </c>
      <c r="AI212" s="314">
        <f>AI211+31</f>
        <v>50437</v>
      </c>
      <c r="AJ212" s="91">
        <f>AL212/$AL$6*$AJ$6</f>
        <v>11466554.114872305</v>
      </c>
      <c r="AK212" s="93">
        <f>AL212/AM212</f>
        <v>1258264.407674642</v>
      </c>
      <c r="AL212" s="94">
        <f>AL211+($AL$19-$AL$7)/12</f>
        <v>15834765.206252234</v>
      </c>
      <c r="AM212" s="102">
        <f t="shared" si="138"/>
        <v>12.584608695652413</v>
      </c>
      <c r="AN212" s="235">
        <f t="shared" si="132"/>
        <v>0.10087719298245423</v>
      </c>
      <c r="AO212" s="394">
        <f t="shared" si="139"/>
        <v>198.65536231282832</v>
      </c>
      <c r="AP212" s="395">
        <f t="shared" si="133"/>
        <v>6.6218454104276105</v>
      </c>
    </row>
    <row r="213" spans="32:42" x14ac:dyDescent="0.35">
      <c r="AF213" s="230">
        <f t="shared" si="142"/>
        <v>207</v>
      </c>
      <c r="AG213" s="270">
        <f t="shared" ref="AG213:AG222" si="143">AG212</f>
        <v>2038</v>
      </c>
      <c r="AH213" s="243" t="s">
        <v>110</v>
      </c>
      <c r="AI213" s="314">
        <f>AI212+28</f>
        <v>50465</v>
      </c>
      <c r="AJ213" s="91">
        <f t="shared" ref="AJ213:AJ222" si="144">AL213/$AL$6*$AJ$6</f>
        <v>11468060.81681234</v>
      </c>
      <c r="AK213" s="93">
        <f t="shared" ref="AK213:AK222" si="145">AL213/AM213</f>
        <v>1203715.4065954781</v>
      </c>
      <c r="AL213" s="94">
        <f t="shared" ref="AL213:AL222" si="146">AL212+($AL$19-$AL$7)/12</f>
        <v>15836845.889883712</v>
      </c>
      <c r="AM213" s="102">
        <f t="shared" si="138"/>
        <v>13.156636363636624</v>
      </c>
      <c r="AN213" s="235">
        <f t="shared" si="132"/>
        <v>9.6491228070173532E-2</v>
      </c>
      <c r="AO213" s="394">
        <f t="shared" si="139"/>
        <v>190.01817264705304</v>
      </c>
      <c r="AP213" s="395">
        <f t="shared" si="133"/>
        <v>6.333939088235101</v>
      </c>
    </row>
    <row r="214" spans="32:42" x14ac:dyDescent="0.35">
      <c r="AF214" s="230">
        <f t="shared" si="142"/>
        <v>208</v>
      </c>
      <c r="AG214" s="270">
        <f t="shared" si="143"/>
        <v>2038</v>
      </c>
      <c r="AH214" s="243" t="s">
        <v>111</v>
      </c>
      <c r="AI214" s="314">
        <f>AI213+31</f>
        <v>50496</v>
      </c>
      <c r="AJ214" s="91">
        <f t="shared" si="144"/>
        <v>11469567.518752376</v>
      </c>
      <c r="AK214" s="93">
        <f t="shared" si="145"/>
        <v>1149152.0285089863</v>
      </c>
      <c r="AL214" s="94">
        <f t="shared" si="146"/>
        <v>15838926.57351519</v>
      </c>
      <c r="AM214" s="102">
        <f t="shared" si="138"/>
        <v>13.783142857143144</v>
      </c>
      <c r="AN214" s="235">
        <f t="shared" si="132"/>
        <v>9.210526315789283E-2</v>
      </c>
      <c r="AO214" s="394">
        <f t="shared" si="139"/>
        <v>181.3809829812777</v>
      </c>
      <c r="AP214" s="395">
        <f t="shared" si="133"/>
        <v>6.0460327660425897</v>
      </c>
    </row>
    <row r="215" spans="32:42" x14ac:dyDescent="0.35">
      <c r="AF215" s="230">
        <f t="shared" si="142"/>
        <v>209</v>
      </c>
      <c r="AG215" s="270">
        <f t="shared" si="143"/>
        <v>2038</v>
      </c>
      <c r="AH215" s="243" t="s">
        <v>112</v>
      </c>
      <c r="AI215" s="314">
        <f t="shared" ref="AI215:AI222" si="147">AI214+30</f>
        <v>50526</v>
      </c>
      <c r="AJ215" s="91">
        <f t="shared" si="144"/>
        <v>11471074.220692411</v>
      </c>
      <c r="AK215" s="93">
        <f t="shared" si="145"/>
        <v>1094574.2734151671</v>
      </c>
      <c r="AL215" s="94">
        <f t="shared" si="146"/>
        <v>15841007.257146668</v>
      </c>
      <c r="AM215" s="102">
        <f t="shared" si="138"/>
        <v>14.472300000000315</v>
      </c>
      <c r="AN215" s="235">
        <f t="shared" si="132"/>
        <v>8.7719298245612129E-2</v>
      </c>
      <c r="AO215" s="394">
        <f t="shared" si="139"/>
        <v>172.74379331550242</v>
      </c>
      <c r="AP215" s="395">
        <f t="shared" si="133"/>
        <v>5.7581264438500801</v>
      </c>
    </row>
    <row r="216" spans="32:42" x14ac:dyDescent="0.35">
      <c r="AF216" s="230">
        <f t="shared" si="142"/>
        <v>210</v>
      </c>
      <c r="AG216" s="273">
        <f t="shared" si="143"/>
        <v>2038</v>
      </c>
      <c r="AH216" s="243" t="s">
        <v>113</v>
      </c>
      <c r="AI216" s="314">
        <f>AI215+31</f>
        <v>50557</v>
      </c>
      <c r="AJ216" s="91">
        <f t="shared" si="144"/>
        <v>11472580.922632447</v>
      </c>
      <c r="AK216" s="93">
        <f t="shared" si="145"/>
        <v>1039982.14131402</v>
      </c>
      <c r="AL216" s="94">
        <f t="shared" si="146"/>
        <v>15843087.940778146</v>
      </c>
      <c r="AM216" s="102">
        <f t="shared" si="138"/>
        <v>15.23400000000035</v>
      </c>
      <c r="AN216" s="235">
        <f t="shared" si="132"/>
        <v>8.3333333333331427E-2</v>
      </c>
      <c r="AO216" s="394">
        <f t="shared" si="139"/>
        <v>164.10660364972711</v>
      </c>
      <c r="AP216" s="395">
        <f t="shared" si="133"/>
        <v>5.4702201216575697</v>
      </c>
    </row>
    <row r="217" spans="32:42" x14ac:dyDescent="0.35">
      <c r="AF217" s="230">
        <f t="shared" si="142"/>
        <v>211</v>
      </c>
      <c r="AG217" s="270">
        <f t="shared" si="143"/>
        <v>2038</v>
      </c>
      <c r="AH217" s="243" t="s">
        <v>114</v>
      </c>
      <c r="AI217" s="314">
        <f t="shared" si="147"/>
        <v>50587</v>
      </c>
      <c r="AJ217" s="91">
        <f t="shared" si="144"/>
        <v>11474087.624572482</v>
      </c>
      <c r="AK217" s="93">
        <f t="shared" si="145"/>
        <v>985375.63220554544</v>
      </c>
      <c r="AL217" s="94">
        <f t="shared" si="146"/>
        <v>15845168.624409623</v>
      </c>
      <c r="AM217" s="102">
        <f t="shared" si="138"/>
        <v>16.080333333333723</v>
      </c>
      <c r="AN217" s="235">
        <f t="shared" si="132"/>
        <v>7.8947368421050726E-2</v>
      </c>
      <c r="AO217" s="394">
        <f t="shared" si="139"/>
        <v>155.4694139839518</v>
      </c>
      <c r="AP217" s="395">
        <f t="shared" si="133"/>
        <v>5.1823137994650592</v>
      </c>
    </row>
    <row r="218" spans="32:42" x14ac:dyDescent="0.35">
      <c r="AF218" s="230">
        <f t="shared" si="142"/>
        <v>212</v>
      </c>
      <c r="AG218" s="270">
        <f t="shared" si="143"/>
        <v>2038</v>
      </c>
      <c r="AH218" s="243" t="s">
        <v>115</v>
      </c>
      <c r="AI218" s="314">
        <f>AI217+31</f>
        <v>50618</v>
      </c>
      <c r="AJ218" s="91">
        <f t="shared" si="144"/>
        <v>11475594.326512517</v>
      </c>
      <c r="AK218" s="93">
        <f t="shared" si="145"/>
        <v>930754.74608974322</v>
      </c>
      <c r="AL218" s="94">
        <f t="shared" si="146"/>
        <v>15847249.308041101</v>
      </c>
      <c r="AM218" s="102">
        <f t="shared" si="138"/>
        <v>17.026235294118084</v>
      </c>
      <c r="AN218" s="235">
        <f t="shared" si="132"/>
        <v>7.4561403508770024E-2</v>
      </c>
      <c r="AO218" s="394">
        <f t="shared" si="139"/>
        <v>146.83222431817649</v>
      </c>
      <c r="AP218" s="395">
        <f t="shared" si="133"/>
        <v>4.8944074772725488</v>
      </c>
    </row>
    <row r="219" spans="32:42" x14ac:dyDescent="0.35">
      <c r="AF219" s="230">
        <f t="shared" si="142"/>
        <v>213</v>
      </c>
      <c r="AG219" s="270">
        <f t="shared" si="143"/>
        <v>2038</v>
      </c>
      <c r="AH219" s="243" t="s">
        <v>116</v>
      </c>
      <c r="AI219" s="314">
        <f>AI218+31</f>
        <v>50649</v>
      </c>
      <c r="AJ219" s="91">
        <f t="shared" si="144"/>
        <v>11477101.028452553</v>
      </c>
      <c r="AK219" s="93">
        <f t="shared" si="145"/>
        <v>876119.48296661337</v>
      </c>
      <c r="AL219" s="94">
        <f t="shared" si="146"/>
        <v>15849329.991672579</v>
      </c>
      <c r="AM219" s="102">
        <f t="shared" si="138"/>
        <v>18.090375000000492</v>
      </c>
      <c r="AN219" s="235">
        <f t="shared" si="132"/>
        <v>7.0175438596489323E-2</v>
      </c>
      <c r="AO219" s="394">
        <f t="shared" si="139"/>
        <v>138.19503465240118</v>
      </c>
      <c r="AP219" s="395">
        <f t="shared" si="133"/>
        <v>4.6065011550800392</v>
      </c>
    </row>
    <row r="220" spans="32:42" x14ac:dyDescent="0.35">
      <c r="AF220" s="230">
        <f t="shared" si="142"/>
        <v>214</v>
      </c>
      <c r="AG220" s="270">
        <f t="shared" si="143"/>
        <v>2038</v>
      </c>
      <c r="AH220" s="243" t="s">
        <v>117</v>
      </c>
      <c r="AI220" s="314">
        <f t="shared" si="147"/>
        <v>50679</v>
      </c>
      <c r="AJ220" s="91">
        <f t="shared" si="144"/>
        <v>11478607.730392588</v>
      </c>
      <c r="AK220" s="93">
        <f t="shared" si="145"/>
        <v>821469.84283615579</v>
      </c>
      <c r="AL220" s="94">
        <f t="shared" si="146"/>
        <v>15851410.675304057</v>
      </c>
      <c r="AM220" s="102">
        <f t="shared" si="138"/>
        <v>19.29640000000056</v>
      </c>
      <c r="AN220" s="235">
        <f t="shared" si="132"/>
        <v>6.5789473684208621E-2</v>
      </c>
      <c r="AO220" s="394">
        <f t="shared" si="139"/>
        <v>129.55784498662587</v>
      </c>
      <c r="AP220" s="395">
        <f t="shared" si="133"/>
        <v>4.3185948328875288</v>
      </c>
    </row>
    <row r="221" spans="32:42" x14ac:dyDescent="0.35">
      <c r="AF221" s="230">
        <f t="shared" si="142"/>
        <v>215</v>
      </c>
      <c r="AG221" s="270">
        <f t="shared" si="143"/>
        <v>2038</v>
      </c>
      <c r="AH221" s="243" t="s">
        <v>118</v>
      </c>
      <c r="AI221" s="314">
        <f>AI220+31</f>
        <v>50710</v>
      </c>
      <c r="AJ221" s="91">
        <f t="shared" si="144"/>
        <v>11480114.432332626</v>
      </c>
      <c r="AK221" s="93">
        <f t="shared" si="145"/>
        <v>766805.8256983707</v>
      </c>
      <c r="AL221" s="94">
        <f t="shared" si="146"/>
        <v>15853491.358935535</v>
      </c>
      <c r="AM221" s="102">
        <f t="shared" si="138"/>
        <v>20.674714285714927</v>
      </c>
      <c r="AN221" s="235">
        <f t="shared" si="132"/>
        <v>6.1403508771927927E-2</v>
      </c>
      <c r="AO221" s="394">
        <f t="shared" si="139"/>
        <v>120.92065532085057</v>
      </c>
      <c r="AP221" s="395">
        <f t="shared" si="133"/>
        <v>4.0306885106950192</v>
      </c>
    </row>
    <row r="222" spans="32:42" ht="15" thickBot="1" x14ac:dyDescent="0.4">
      <c r="AF222" s="236">
        <f t="shared" si="142"/>
        <v>216</v>
      </c>
      <c r="AG222" s="272">
        <f t="shared" si="143"/>
        <v>2038</v>
      </c>
      <c r="AH222" s="246" t="s">
        <v>119</v>
      </c>
      <c r="AI222" s="315">
        <f t="shared" si="147"/>
        <v>50740</v>
      </c>
      <c r="AJ222" s="238">
        <f t="shared" si="144"/>
        <v>11481621.134272661</v>
      </c>
      <c r="AK222" s="239">
        <f t="shared" si="145"/>
        <v>712127.43155325809</v>
      </c>
      <c r="AL222" s="240">
        <f t="shared" si="146"/>
        <v>15855572.042567013</v>
      </c>
      <c r="AM222" s="241">
        <f t="shared" si="138"/>
        <v>22.265076923077661</v>
      </c>
      <c r="AN222" s="242">
        <f t="shared" si="132"/>
        <v>5.7017543859647232E-2</v>
      </c>
      <c r="AO222" s="396">
        <f t="shared" si="139"/>
        <v>112.28346565507529</v>
      </c>
      <c r="AP222" s="395">
        <f t="shared" si="133"/>
        <v>3.7427821885025097</v>
      </c>
    </row>
    <row r="223" spans="32:42" x14ac:dyDescent="0.35">
      <c r="AF223" s="230">
        <f>AF222+1</f>
        <v>217</v>
      </c>
      <c r="AG223" s="269">
        <f>AG211+1</f>
        <v>2039</v>
      </c>
      <c r="AH223" s="231" t="s">
        <v>108</v>
      </c>
      <c r="AI223" s="312">
        <v>50771</v>
      </c>
      <c r="AJ223" s="232">
        <f>AL211</f>
        <v>15832684.522620756</v>
      </c>
      <c r="AK223" s="93">
        <f>AL223/AM223</f>
        <v>906456.47430112434</v>
      </c>
      <c r="AL223" s="233">
        <f t="shared" ref="AL223" si="148">AJ223/$L$6*$M$6</f>
        <v>21864183.388381053</v>
      </c>
      <c r="AM223" s="244">
        <f t="shared" si="138"/>
        <v>24.120500000000863</v>
      </c>
      <c r="AN223" s="245">
        <f t="shared" si="132"/>
        <v>5.2631578947366538E-2</v>
      </c>
      <c r="AO223" s="386">
        <f t="shared" si="139"/>
        <v>103.64627598929999</v>
      </c>
      <c r="AP223" s="397">
        <f t="shared" si="133"/>
        <v>3.4548758663099997</v>
      </c>
    </row>
    <row r="224" spans="32:42" x14ac:dyDescent="0.35">
      <c r="AF224" s="230">
        <f t="shared" ref="AF224:AF234" si="149">AF223+1</f>
        <v>218</v>
      </c>
      <c r="AG224" s="269">
        <f>AG223</f>
        <v>2039</v>
      </c>
      <c r="AH224" s="231" t="s">
        <v>109</v>
      </c>
      <c r="AI224" s="312">
        <f>AI223+31</f>
        <v>50802</v>
      </c>
      <c r="AJ224" s="91">
        <f>AL224/$AL$6*$AJ$6</f>
        <v>15834191.224560792</v>
      </c>
      <c r="AK224" s="93">
        <f>AL224/AM224</f>
        <v>830997.50831633003</v>
      </c>
      <c r="AL224" s="94">
        <f>AL223+($AL$19-$AL$7)/12</f>
        <v>21866264.072012529</v>
      </c>
      <c r="AM224" s="247">
        <f t="shared" si="138"/>
        <v>26.313272727273752</v>
      </c>
      <c r="AN224" s="235">
        <f t="shared" si="132"/>
        <v>4.8245614035085843E-2</v>
      </c>
      <c r="AO224" s="388">
        <f t="shared" si="139"/>
        <v>95.009086323524699</v>
      </c>
      <c r="AP224" s="389">
        <f t="shared" si="133"/>
        <v>3.1669695441174897</v>
      </c>
    </row>
    <row r="225" spans="32:42" x14ac:dyDescent="0.35">
      <c r="AF225" s="230">
        <f t="shared" si="149"/>
        <v>219</v>
      </c>
      <c r="AG225" s="270">
        <f t="shared" ref="AG225:AG234" si="150">AG224</f>
        <v>2039</v>
      </c>
      <c r="AH225" s="231" t="s">
        <v>110</v>
      </c>
      <c r="AI225" s="312">
        <f>AI224+28</f>
        <v>50830</v>
      </c>
      <c r="AJ225" s="91">
        <f t="shared" ref="AJ225:AJ234" si="151">AL225/$AL$6*$AJ$6</f>
        <v>15835697.926500825</v>
      </c>
      <c r="AK225" s="93">
        <f t="shared" ref="AK225:AK234" si="152">AL225/AM225</f>
        <v>755524.16532420809</v>
      </c>
      <c r="AL225" s="94">
        <f t="shared" ref="AL225:AL234" si="153">AL224+($AL$19-$AL$7)/12</f>
        <v>21868344.755644005</v>
      </c>
      <c r="AM225" s="247">
        <f t="shared" si="138"/>
        <v>28.944600000001234</v>
      </c>
      <c r="AN225" s="235">
        <f t="shared" si="132"/>
        <v>4.3859649122805149E-2</v>
      </c>
      <c r="AO225" s="388">
        <f t="shared" si="139"/>
        <v>86.371896657749403</v>
      </c>
      <c r="AP225" s="389">
        <f t="shared" si="133"/>
        <v>2.8790632219249801</v>
      </c>
    </row>
    <row r="226" spans="32:42" x14ac:dyDescent="0.35">
      <c r="AF226" s="230">
        <f t="shared" si="149"/>
        <v>220</v>
      </c>
      <c r="AG226" s="270">
        <f t="shared" si="150"/>
        <v>2039</v>
      </c>
      <c r="AH226" s="231" t="s">
        <v>111</v>
      </c>
      <c r="AI226" s="312">
        <f t="shared" ref="AI226:AI233" si="154">AI225+31</f>
        <v>50861</v>
      </c>
      <c r="AJ226" s="91">
        <f t="shared" si="151"/>
        <v>15837204.628440863</v>
      </c>
      <c r="AK226" s="93">
        <f t="shared" si="152"/>
        <v>680036.44532475842</v>
      </c>
      <c r="AL226" s="94">
        <f t="shared" si="153"/>
        <v>21870425.439275481</v>
      </c>
      <c r="AM226" s="247">
        <f t="shared" si="138"/>
        <v>32.160666666668185</v>
      </c>
      <c r="AN226" s="235">
        <f t="shared" si="132"/>
        <v>3.9473684210524454E-2</v>
      </c>
      <c r="AO226" s="388">
        <f t="shared" si="139"/>
        <v>77.734706991974107</v>
      </c>
      <c r="AP226" s="389">
        <f t="shared" si="133"/>
        <v>2.5911568997324701</v>
      </c>
    </row>
    <row r="227" spans="32:42" x14ac:dyDescent="0.35">
      <c r="AF227" s="230">
        <f t="shared" si="149"/>
        <v>221</v>
      </c>
      <c r="AG227" s="270">
        <f t="shared" si="150"/>
        <v>2039</v>
      </c>
      <c r="AH227" s="231" t="s">
        <v>112</v>
      </c>
      <c r="AI227" s="312">
        <f>AI226+30</f>
        <v>50891</v>
      </c>
      <c r="AJ227" s="91">
        <f t="shared" si="151"/>
        <v>15838711.330380896</v>
      </c>
      <c r="AK227" s="93">
        <f t="shared" si="152"/>
        <v>604534.34831798123</v>
      </c>
      <c r="AL227" s="94">
        <f t="shared" si="153"/>
        <v>21872506.122906957</v>
      </c>
      <c r="AM227" s="247">
        <f t="shared" si="138"/>
        <v>36.180750000001915</v>
      </c>
      <c r="AN227" s="235">
        <f t="shared" si="132"/>
        <v>3.5087719298243759E-2</v>
      </c>
      <c r="AO227" s="388">
        <f t="shared" si="139"/>
        <v>69.097517326198812</v>
      </c>
      <c r="AP227" s="389">
        <f t="shared" si="133"/>
        <v>2.3032505775399601</v>
      </c>
    </row>
    <row r="228" spans="32:42" x14ac:dyDescent="0.35">
      <c r="AF228" s="230">
        <f t="shared" si="149"/>
        <v>222</v>
      </c>
      <c r="AG228" s="273">
        <f t="shared" si="150"/>
        <v>2039</v>
      </c>
      <c r="AH228" s="231" t="s">
        <v>113</v>
      </c>
      <c r="AI228" s="312">
        <f t="shared" si="154"/>
        <v>50922</v>
      </c>
      <c r="AJ228" s="91">
        <f t="shared" si="151"/>
        <v>15840218.03232093</v>
      </c>
      <c r="AK228" s="93">
        <f t="shared" si="152"/>
        <v>529017.87430387631</v>
      </c>
      <c r="AL228" s="94">
        <f t="shared" si="153"/>
        <v>21874586.806538433</v>
      </c>
      <c r="AM228" s="247">
        <f t="shared" si="138"/>
        <v>41.349428571431069</v>
      </c>
      <c r="AN228" s="235">
        <f t="shared" si="132"/>
        <v>3.0701754385963061E-2</v>
      </c>
      <c r="AO228" s="388">
        <f t="shared" si="139"/>
        <v>60.460327660423509</v>
      </c>
      <c r="AP228" s="389">
        <f t="shared" si="133"/>
        <v>2.0153442553474501</v>
      </c>
    </row>
    <row r="229" spans="32:42" x14ac:dyDescent="0.35">
      <c r="AF229" s="230">
        <f t="shared" si="149"/>
        <v>223</v>
      </c>
      <c r="AG229" s="270">
        <f t="shared" si="150"/>
        <v>2039</v>
      </c>
      <c r="AH229" s="231" t="s">
        <v>114</v>
      </c>
      <c r="AI229" s="312">
        <f>AI228+30</f>
        <v>50952</v>
      </c>
      <c r="AJ229" s="91">
        <f t="shared" si="151"/>
        <v>15841724.734260965</v>
      </c>
      <c r="AK229" s="93">
        <f t="shared" si="152"/>
        <v>453487.02328244381</v>
      </c>
      <c r="AL229" s="94">
        <f t="shared" si="153"/>
        <v>21876667.490169909</v>
      </c>
      <c r="AM229" s="247">
        <f t="shared" si="138"/>
        <v>48.241000000003389</v>
      </c>
      <c r="AN229" s="235">
        <f t="shared" si="132"/>
        <v>2.6315789473682363E-2</v>
      </c>
      <c r="AO229" s="388">
        <f t="shared" si="139"/>
        <v>51.823137994648214</v>
      </c>
      <c r="AP229" s="389">
        <f t="shared" si="133"/>
        <v>1.7274379331549403</v>
      </c>
    </row>
    <row r="230" spans="32:42" x14ac:dyDescent="0.35">
      <c r="AF230" s="230">
        <f t="shared" si="149"/>
        <v>224</v>
      </c>
      <c r="AG230" s="270">
        <f t="shared" si="150"/>
        <v>2039</v>
      </c>
      <c r="AH230" s="231" t="s">
        <v>115</v>
      </c>
      <c r="AI230" s="312">
        <f t="shared" si="154"/>
        <v>50983</v>
      </c>
      <c r="AJ230" s="91">
        <f t="shared" si="151"/>
        <v>15843231.436200999</v>
      </c>
      <c r="AK230" s="93">
        <f t="shared" si="152"/>
        <v>377941.79525368364</v>
      </c>
      <c r="AL230" s="94">
        <f t="shared" si="153"/>
        <v>21878748.173801385</v>
      </c>
      <c r="AM230" s="247">
        <f t="shared" si="138"/>
        <v>57.88920000000487</v>
      </c>
      <c r="AN230" s="235">
        <f t="shared" si="132"/>
        <v>2.1929824561401665E-2</v>
      </c>
      <c r="AO230" s="388">
        <f t="shared" si="139"/>
        <v>43.185948328872911</v>
      </c>
      <c r="AP230" s="389">
        <f t="shared" si="133"/>
        <v>1.4395316109624303</v>
      </c>
    </row>
    <row r="231" spans="32:42" x14ac:dyDescent="0.35">
      <c r="AF231" s="230">
        <f t="shared" si="149"/>
        <v>225</v>
      </c>
      <c r="AG231" s="270">
        <f t="shared" si="150"/>
        <v>2039</v>
      </c>
      <c r="AH231" s="231" t="s">
        <v>116</v>
      </c>
      <c r="AI231" s="312">
        <f t="shared" si="154"/>
        <v>51014</v>
      </c>
      <c r="AJ231" s="91">
        <f t="shared" si="151"/>
        <v>15844738.138141032</v>
      </c>
      <c r="AK231" s="93">
        <f t="shared" si="152"/>
        <v>302382.1902175959</v>
      </c>
      <c r="AL231" s="94">
        <f t="shared" si="153"/>
        <v>21880828.857432861</v>
      </c>
      <c r="AM231" s="247">
        <f t="shared" si="138"/>
        <v>72.361500000007595</v>
      </c>
      <c r="AN231" s="235">
        <f t="shared" si="132"/>
        <v>1.7543859649120967E-2</v>
      </c>
      <c r="AO231" s="388">
        <f t="shared" si="139"/>
        <v>34.548758663097608</v>
      </c>
      <c r="AP231" s="389">
        <f t="shared" si="133"/>
        <v>1.1516252887699203</v>
      </c>
    </row>
    <row r="232" spans="32:42" x14ac:dyDescent="0.35">
      <c r="AF232" s="230">
        <f t="shared" si="149"/>
        <v>226</v>
      </c>
      <c r="AG232" s="270">
        <f t="shared" si="150"/>
        <v>2039</v>
      </c>
      <c r="AH232" s="231" t="s">
        <v>117</v>
      </c>
      <c r="AI232" s="312">
        <f>AI231+30</f>
        <v>51044</v>
      </c>
      <c r="AJ232" s="91">
        <f t="shared" si="151"/>
        <v>15846244.840081066</v>
      </c>
      <c r="AK232" s="93">
        <f t="shared" si="152"/>
        <v>226808.20817418047</v>
      </c>
      <c r="AL232" s="94">
        <f t="shared" si="153"/>
        <v>21882909.541064337</v>
      </c>
      <c r="AM232" s="247">
        <f t="shared" si="138"/>
        <v>96.482000000013471</v>
      </c>
      <c r="AN232" s="235">
        <f t="shared" si="132"/>
        <v>1.3157894736840269E-2</v>
      </c>
      <c r="AO232" s="388">
        <f t="shared" si="139"/>
        <v>25.911568997322309</v>
      </c>
      <c r="AP232" s="389">
        <f t="shared" si="133"/>
        <v>0.86371896657741021</v>
      </c>
    </row>
    <row r="233" spans="32:42" x14ac:dyDescent="0.35">
      <c r="AF233" s="230">
        <f t="shared" si="149"/>
        <v>227</v>
      </c>
      <c r="AG233" s="270">
        <f t="shared" si="150"/>
        <v>2039</v>
      </c>
      <c r="AH233" s="231" t="s">
        <v>118</v>
      </c>
      <c r="AI233" s="312">
        <f t="shared" si="154"/>
        <v>51075</v>
      </c>
      <c r="AJ233" s="91">
        <f t="shared" si="151"/>
        <v>15847751.542021101</v>
      </c>
      <c r="AK233" s="93">
        <f t="shared" si="152"/>
        <v>151219.84912343748</v>
      </c>
      <c r="AL233" s="94">
        <f t="shared" si="153"/>
        <v>21884990.224695813</v>
      </c>
      <c r="AM233" s="247">
        <f t="shared" si="138"/>
        <v>144.72300000003023</v>
      </c>
      <c r="AN233" s="235">
        <f t="shared" si="132"/>
        <v>8.7719298245595712E-3</v>
      </c>
      <c r="AO233" s="388">
        <f t="shared" si="139"/>
        <v>17.27437933154701</v>
      </c>
      <c r="AP233" s="389">
        <f t="shared" si="133"/>
        <v>0.57581264438490032</v>
      </c>
    </row>
    <row r="234" spans="32:42" ht="15" thickBot="1" x14ac:dyDescent="0.4">
      <c r="AF234" s="236">
        <f t="shared" si="149"/>
        <v>228</v>
      </c>
      <c r="AG234" s="272">
        <f t="shared" si="150"/>
        <v>2039</v>
      </c>
      <c r="AH234" s="237" t="s">
        <v>119</v>
      </c>
      <c r="AI234" s="313">
        <f>AI233+30</f>
        <v>51105</v>
      </c>
      <c r="AJ234" s="238">
        <f t="shared" si="151"/>
        <v>15849258.243961135</v>
      </c>
      <c r="AK234" s="239">
        <f t="shared" si="152"/>
        <v>75617.113065366822</v>
      </c>
      <c r="AL234" s="240">
        <f t="shared" si="153"/>
        <v>21887070.908327289</v>
      </c>
      <c r="AM234" s="247">
        <f t="shared" si="138"/>
        <v>289.44600000012065</v>
      </c>
      <c r="AN234" s="235">
        <f t="shared" si="132"/>
        <v>4.385964912278874E-3</v>
      </c>
      <c r="AO234" s="390">
        <f t="shared" si="139"/>
        <v>8.6371896657717091</v>
      </c>
      <c r="AP234" s="389">
        <f t="shared" si="133"/>
        <v>0.28790632219239026</v>
      </c>
    </row>
    <row r="235" spans="32:42" ht="15" thickBot="1" x14ac:dyDescent="0.4">
      <c r="AF235" s="230">
        <f>AF234+1</f>
        <v>229</v>
      </c>
      <c r="AG235" s="269">
        <f>AG223+1</f>
        <v>2040</v>
      </c>
      <c r="AH235" s="248" t="s">
        <v>108</v>
      </c>
      <c r="AI235" s="316">
        <v>51136</v>
      </c>
      <c r="AJ235" s="249">
        <f>AL223</f>
        <v>21864183.388381053</v>
      </c>
      <c r="AK235" s="250">
        <v>0</v>
      </c>
      <c r="AL235" s="249">
        <f t="shared" ref="AL235" si="155">AJ235/$L$6*$M$6</f>
        <v>30193396.107764322</v>
      </c>
      <c r="AM235" s="213">
        <f>AM234</f>
        <v>289.44600000012065</v>
      </c>
      <c r="AN235" s="251">
        <f t="shared" si="132"/>
        <v>-1.8231943732516243E-15</v>
      </c>
      <c r="AO235" s="392">
        <f t="shared" si="139"/>
        <v>8.6371896657717091</v>
      </c>
      <c r="AP235" s="398">
        <f t="shared" si="133"/>
        <v>0.28790632219239026</v>
      </c>
    </row>
    <row r="236" spans="32:42" x14ac:dyDescent="0.35">
      <c r="AF236" s="230">
        <f t="shared" ref="AF236:AF246" si="156">AF235+1</f>
        <v>230</v>
      </c>
      <c r="AG236" s="269">
        <f>AG235</f>
        <v>2040</v>
      </c>
      <c r="AH236" s="252" t="s">
        <v>109</v>
      </c>
      <c r="AI236" s="252"/>
      <c r="AJ236" s="91"/>
      <c r="AK236" s="253">
        <v>0</v>
      </c>
      <c r="AL236" s="94"/>
      <c r="AM236" s="253" t="s">
        <v>59</v>
      </c>
      <c r="AN236" s="254">
        <f t="shared" ref="AN236:AN245" si="157">AN235</f>
        <v>-1.8231943732516243E-15</v>
      </c>
      <c r="AO236" s="394">
        <v>0</v>
      </c>
      <c r="AP236" s="395">
        <v>0</v>
      </c>
    </row>
    <row r="237" spans="32:42" x14ac:dyDescent="0.35">
      <c r="AF237" s="230">
        <f t="shared" si="156"/>
        <v>231</v>
      </c>
      <c r="AG237" s="270">
        <f t="shared" ref="AG237:AG246" si="158">AG236</f>
        <v>2040</v>
      </c>
      <c r="AH237" s="252" t="s">
        <v>110</v>
      </c>
      <c r="AI237" s="252"/>
      <c r="AJ237" s="91"/>
      <c r="AK237" s="253">
        <v>0</v>
      </c>
      <c r="AL237" s="94"/>
      <c r="AM237" s="253" t="s">
        <v>59</v>
      </c>
      <c r="AN237" s="254">
        <f t="shared" si="157"/>
        <v>-1.8231943732516243E-15</v>
      </c>
      <c r="AO237" s="394">
        <v>0</v>
      </c>
      <c r="AP237" s="395">
        <v>0</v>
      </c>
    </row>
    <row r="238" spans="32:42" x14ac:dyDescent="0.35">
      <c r="AF238" s="230">
        <f t="shared" si="156"/>
        <v>232</v>
      </c>
      <c r="AG238" s="270">
        <f t="shared" si="158"/>
        <v>2040</v>
      </c>
      <c r="AH238" s="252" t="s">
        <v>111</v>
      </c>
      <c r="AI238" s="252"/>
      <c r="AJ238" s="91"/>
      <c r="AK238" s="253">
        <v>0</v>
      </c>
      <c r="AL238" s="94"/>
      <c r="AM238" s="253" t="s">
        <v>59</v>
      </c>
      <c r="AN238" s="254">
        <f t="shared" si="157"/>
        <v>-1.8231943732516243E-15</v>
      </c>
      <c r="AO238" s="394">
        <v>0</v>
      </c>
      <c r="AP238" s="395">
        <v>0</v>
      </c>
    </row>
    <row r="239" spans="32:42" x14ac:dyDescent="0.35">
      <c r="AF239" s="230">
        <f t="shared" si="156"/>
        <v>233</v>
      </c>
      <c r="AG239" s="270">
        <f t="shared" si="158"/>
        <v>2040</v>
      </c>
      <c r="AH239" s="252" t="s">
        <v>112</v>
      </c>
      <c r="AI239" s="252"/>
      <c r="AJ239" s="91"/>
      <c r="AK239" s="253">
        <v>0</v>
      </c>
      <c r="AL239" s="94"/>
      <c r="AM239" s="253" t="s">
        <v>59</v>
      </c>
      <c r="AN239" s="254">
        <f t="shared" si="157"/>
        <v>-1.8231943732516243E-15</v>
      </c>
      <c r="AO239" s="394">
        <v>0</v>
      </c>
      <c r="AP239" s="395">
        <v>0</v>
      </c>
    </row>
    <row r="240" spans="32:42" x14ac:dyDescent="0.35">
      <c r="AF240" s="230">
        <f t="shared" si="156"/>
        <v>234</v>
      </c>
      <c r="AG240" s="273">
        <f t="shared" si="158"/>
        <v>2040</v>
      </c>
      <c r="AH240" s="252" t="s">
        <v>113</v>
      </c>
      <c r="AI240" s="252"/>
      <c r="AJ240" s="91"/>
      <c r="AK240" s="253">
        <v>0</v>
      </c>
      <c r="AL240" s="94"/>
      <c r="AM240" s="253" t="s">
        <v>59</v>
      </c>
      <c r="AN240" s="254">
        <f t="shared" si="157"/>
        <v>-1.8231943732516243E-15</v>
      </c>
      <c r="AO240" s="394">
        <v>0</v>
      </c>
      <c r="AP240" s="395">
        <v>0</v>
      </c>
    </row>
    <row r="241" spans="32:42" x14ac:dyDescent="0.35">
      <c r="AF241" s="230">
        <f t="shared" si="156"/>
        <v>235</v>
      </c>
      <c r="AG241" s="270">
        <f t="shared" si="158"/>
        <v>2040</v>
      </c>
      <c r="AH241" s="252" t="s">
        <v>114</v>
      </c>
      <c r="AI241" s="252"/>
      <c r="AJ241" s="91"/>
      <c r="AK241" s="253">
        <v>0</v>
      </c>
      <c r="AL241" s="94"/>
      <c r="AM241" s="253" t="s">
        <v>59</v>
      </c>
      <c r="AN241" s="254">
        <f t="shared" si="157"/>
        <v>-1.8231943732516243E-15</v>
      </c>
      <c r="AO241" s="394">
        <v>0</v>
      </c>
      <c r="AP241" s="395">
        <v>0</v>
      </c>
    </row>
    <row r="242" spans="32:42" x14ac:dyDescent="0.35">
      <c r="AF242" s="230">
        <f t="shared" si="156"/>
        <v>236</v>
      </c>
      <c r="AG242" s="270">
        <f t="shared" si="158"/>
        <v>2040</v>
      </c>
      <c r="AH242" s="252" t="s">
        <v>115</v>
      </c>
      <c r="AI242" s="252"/>
      <c r="AJ242" s="91"/>
      <c r="AK242" s="253">
        <v>0</v>
      </c>
      <c r="AL242" s="94"/>
      <c r="AM242" s="253" t="s">
        <v>59</v>
      </c>
      <c r="AN242" s="254">
        <f t="shared" si="157"/>
        <v>-1.8231943732516243E-15</v>
      </c>
      <c r="AO242" s="394">
        <v>0</v>
      </c>
      <c r="AP242" s="395">
        <v>0</v>
      </c>
    </row>
    <row r="243" spans="32:42" x14ac:dyDescent="0.35">
      <c r="AF243" s="230">
        <f t="shared" si="156"/>
        <v>237</v>
      </c>
      <c r="AG243" s="270">
        <f t="shared" si="158"/>
        <v>2040</v>
      </c>
      <c r="AH243" s="252" t="s">
        <v>116</v>
      </c>
      <c r="AI243" s="252"/>
      <c r="AJ243" s="91"/>
      <c r="AK243" s="253">
        <v>0</v>
      </c>
      <c r="AL243" s="94"/>
      <c r="AM243" s="253" t="s">
        <v>59</v>
      </c>
      <c r="AN243" s="254">
        <f t="shared" si="157"/>
        <v>-1.8231943732516243E-15</v>
      </c>
      <c r="AO243" s="394">
        <v>0</v>
      </c>
      <c r="AP243" s="395">
        <v>0</v>
      </c>
    </row>
    <row r="244" spans="32:42" x14ac:dyDescent="0.35">
      <c r="AF244" s="230">
        <f t="shared" si="156"/>
        <v>238</v>
      </c>
      <c r="AG244" s="270">
        <f t="shared" si="158"/>
        <v>2040</v>
      </c>
      <c r="AH244" s="252" t="s">
        <v>117</v>
      </c>
      <c r="AI244" s="252"/>
      <c r="AJ244" s="91"/>
      <c r="AK244" s="253">
        <v>0</v>
      </c>
      <c r="AL244" s="94"/>
      <c r="AM244" s="253" t="s">
        <v>59</v>
      </c>
      <c r="AN244" s="254">
        <f t="shared" si="157"/>
        <v>-1.8231943732516243E-15</v>
      </c>
      <c r="AO244" s="394">
        <v>0</v>
      </c>
      <c r="AP244" s="395">
        <v>0</v>
      </c>
    </row>
    <row r="245" spans="32:42" x14ac:dyDescent="0.35">
      <c r="AF245" s="230">
        <f t="shared" si="156"/>
        <v>239</v>
      </c>
      <c r="AG245" s="270">
        <f t="shared" si="158"/>
        <v>2040</v>
      </c>
      <c r="AH245" s="252" t="s">
        <v>118</v>
      </c>
      <c r="AI245" s="252"/>
      <c r="AJ245" s="91"/>
      <c r="AK245" s="253">
        <v>0</v>
      </c>
      <c r="AL245" s="94"/>
      <c r="AM245" s="253" t="s">
        <v>59</v>
      </c>
      <c r="AN245" s="254">
        <f t="shared" si="157"/>
        <v>-1.8231943732516243E-15</v>
      </c>
      <c r="AO245" s="394">
        <v>0</v>
      </c>
      <c r="AP245" s="395">
        <v>0</v>
      </c>
    </row>
    <row r="246" spans="32:42" ht="15" thickBot="1" x14ac:dyDescent="0.4">
      <c r="AF246" s="255">
        <f t="shared" si="156"/>
        <v>240</v>
      </c>
      <c r="AG246" s="274">
        <f t="shared" si="158"/>
        <v>2040</v>
      </c>
      <c r="AH246" s="256" t="s">
        <v>119</v>
      </c>
      <c r="AI246" s="256"/>
      <c r="AJ246" s="92"/>
      <c r="AK246" s="257">
        <v>0</v>
      </c>
      <c r="AL246" s="95"/>
      <c r="AM246" s="257" t="s">
        <v>59</v>
      </c>
      <c r="AN246" s="258">
        <f>AN245</f>
        <v>-1.8231943732516243E-15</v>
      </c>
      <c r="AO246" s="399">
        <v>0</v>
      </c>
      <c r="AP246" s="400">
        <v>0</v>
      </c>
    </row>
    <row r="247" spans="32:42" ht="15" thickTop="1" x14ac:dyDescent="0.35"/>
  </sheetData>
  <hyperlinks>
    <hyperlink ref="O63" r:id="rId1" location="sbor" xr:uid="{A278C0DB-0D08-4D9B-A80C-994EED1B7F30}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Schmidt</dc:creator>
  <cp:lastModifiedBy>Alexander Schmidt</cp:lastModifiedBy>
  <dcterms:created xsi:type="dcterms:W3CDTF">2021-02-27T08:47:56Z</dcterms:created>
  <dcterms:modified xsi:type="dcterms:W3CDTF">2022-10-31T18:46:31Z</dcterms:modified>
</cp:coreProperties>
</file>