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exander Schmidt\a\PRIVAT\ALEX\PARTEI\PHO\Date-Tabellen\S-G-Registrierung\Model\Auto\"/>
    </mc:Choice>
  </mc:AlternateContent>
  <xr:revisionPtr revIDLastSave="0" documentId="13_ncr:1_{A4033ADE-EE4D-4BEC-9140-341D70E0C2F9}" xr6:coauthVersionLast="36" xr6:coauthVersionMax="36" xr10:uidLastSave="{00000000-0000-0000-0000-000000000000}"/>
  <bookViews>
    <workbookView xWindow="0" yWindow="0" windowWidth="19200" windowHeight="8250" xr2:uid="{6BB25465-01BC-4751-894C-3A141CCD2207}"/>
  </bookViews>
  <sheets>
    <sheet name="Tabelle1" sheetId="1" r:id="rId1"/>
  </sheets>
  <externalReferences>
    <externalReference r:id="rId2"/>
  </externalReferenc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  <c r="E25" i="1" l="1"/>
  <c r="E23" i="1" l="1"/>
  <c r="H22" i="1"/>
  <c r="G19" i="1"/>
  <c r="G20" i="1" s="1"/>
  <c r="G21" i="1" s="1"/>
  <c r="G22" i="1" s="1"/>
  <c r="H49" i="1" l="1"/>
  <c r="H48" i="1"/>
  <c r="D48" i="1"/>
  <c r="D47" i="1"/>
  <c r="H46" i="1"/>
  <c r="G43" i="1"/>
  <c r="G46" i="1" s="1"/>
  <c r="G47" i="1" s="1"/>
  <c r="G48" i="1" s="1"/>
  <c r="G49" i="1" l="1"/>
  <c r="H27" i="1"/>
  <c r="F24" i="1"/>
  <c r="C19" i="1"/>
  <c r="C24" i="1" s="1"/>
  <c r="G18" i="1"/>
  <c r="F18" i="1"/>
  <c r="C18" i="1"/>
  <c r="E19" i="1" l="1"/>
  <c r="H23" i="1"/>
  <c r="H32" i="1"/>
  <c r="G40" i="1" s="1"/>
  <c r="H40" i="1" s="1"/>
  <c r="H47" i="1"/>
  <c r="H24" i="1"/>
  <c r="H18" i="1"/>
  <c r="F17" i="1"/>
  <c r="G24" i="1"/>
  <c r="G23" i="1" s="1"/>
  <c r="H25" i="1"/>
  <c r="H17" i="1"/>
  <c r="F25" i="1"/>
  <c r="AI224" i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00" i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176" i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52" i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29" i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28" i="1"/>
  <c r="AI104" i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80" i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56" i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33" i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32" i="1"/>
  <c r="AI8" i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F19" i="1" l="1"/>
  <c r="E22" i="1"/>
  <c r="F22" i="1" s="1"/>
  <c r="E21" i="1"/>
  <c r="E31" i="1"/>
  <c r="G26" i="1"/>
  <c r="G25" i="1"/>
  <c r="G30" i="1" s="1"/>
  <c r="AG19" i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8" i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F8" i="1"/>
  <c r="AF9" i="1" s="1"/>
  <c r="AN7" i="1"/>
  <c r="AM6" i="1"/>
  <c r="AM7" i="1" s="1"/>
  <c r="E3" i="1"/>
  <c r="F21" i="1" l="1"/>
  <c r="H21" i="1"/>
  <c r="E20" i="1"/>
  <c r="E34" i="1"/>
  <c r="F34" i="1" s="1"/>
  <c r="E28" i="1"/>
  <c r="E37" i="1"/>
  <c r="H31" i="1"/>
  <c r="E45" i="1"/>
  <c r="F31" i="1"/>
  <c r="E40" i="1"/>
  <c r="G37" i="1"/>
  <c r="G39" i="1" s="1"/>
  <c r="G31" i="1"/>
  <c r="G44" i="1"/>
  <c r="E26" i="1"/>
  <c r="F26" i="1" s="1"/>
  <c r="E29" i="1"/>
  <c r="F29" i="1" s="1"/>
  <c r="E27" i="1"/>
  <c r="F27" i="1" s="1"/>
  <c r="G27" i="1"/>
  <c r="G28" i="1" s="1"/>
  <c r="G29" i="1"/>
  <c r="AF10" i="1"/>
  <c r="AG31" i="1"/>
  <c r="E63" i="1"/>
  <c r="C58" i="1"/>
  <c r="H20" i="1" l="1"/>
  <c r="F20" i="1"/>
  <c r="E36" i="1"/>
  <c r="H36" i="1" s="1"/>
  <c r="E39" i="1"/>
  <c r="H39" i="1" s="1"/>
  <c r="G45" i="1"/>
  <c r="G34" i="1"/>
  <c r="G36" i="1" s="1"/>
  <c r="H45" i="1"/>
  <c r="F45" i="1"/>
  <c r="E47" i="1"/>
  <c r="F47" i="1" s="1"/>
  <c r="E49" i="1"/>
  <c r="F49" i="1" s="1"/>
  <c r="F37" i="1"/>
  <c r="E38" i="1"/>
  <c r="E46" i="1"/>
  <c r="F46" i="1" s="1"/>
  <c r="H41" i="1"/>
  <c r="F40" i="1"/>
  <c r="AF11" i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H3" i="1"/>
  <c r="E57" i="1" s="1"/>
  <c r="G3" i="1"/>
  <c r="AG32" i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/>
  <c r="F61" i="1"/>
  <c r="F36" i="1" l="1"/>
  <c r="F39" i="1"/>
  <c r="E48" i="1"/>
  <c r="F48" i="1" s="1"/>
  <c r="H38" i="1"/>
  <c r="AG44" i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/>
  <c r="AG67" i="1" l="1"/>
  <c r="AG56" i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N57" i="1"/>
  <c r="G63" i="1"/>
  <c r="L58" i="1"/>
  <c r="L66" i="1" s="1"/>
  <c r="O7" i="1"/>
  <c r="L57" i="1"/>
  <c r="E67" i="1"/>
  <c r="G67" i="1" s="1"/>
  <c r="E66" i="1"/>
  <c r="G66" i="1" s="1"/>
  <c r="E65" i="1"/>
  <c r="G65" i="1" s="1"/>
  <c r="E64" i="1"/>
  <c r="G64" i="1" s="1"/>
  <c r="C59" i="1"/>
  <c r="C60" i="1" s="1"/>
  <c r="C61" i="1" s="1"/>
  <c r="C62" i="1" s="1"/>
  <c r="C63" i="1" s="1"/>
  <c r="C64" i="1" s="1"/>
  <c r="C65" i="1" s="1"/>
  <c r="C66" i="1" s="1"/>
  <c r="C67" i="1" s="1"/>
  <c r="AG79" i="1" l="1"/>
  <c r="AG68" i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L63" i="1"/>
  <c r="N63" i="1" s="1"/>
  <c r="L62" i="1"/>
  <c r="L60" i="1"/>
  <c r="N66" i="1"/>
  <c r="M57" i="1"/>
  <c r="N62" i="1"/>
  <c r="F57" i="1"/>
  <c r="L64" i="1"/>
  <c r="N64" i="1" s="1"/>
  <c r="L67" i="1"/>
  <c r="N67" i="1" s="1"/>
  <c r="N58" i="1"/>
  <c r="L65" i="1"/>
  <c r="N65" i="1" s="1"/>
  <c r="AG91" i="1" l="1"/>
  <c r="AG80" i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N68" i="1"/>
  <c r="AG103" i="1" l="1"/>
  <c r="AG92" i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K8" i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P6" i="1" s="1"/>
  <c r="P8" i="1" s="1"/>
  <c r="P9" i="1" l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O25" i="1" s="1"/>
  <c r="AN8" i="1"/>
  <c r="AN6" i="1"/>
  <c r="AG115" i="1"/>
  <c r="AG104" i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O8" i="1"/>
  <c r="O15" i="1" l="1"/>
  <c r="O22" i="1"/>
  <c r="O11" i="1"/>
  <c r="O23" i="1"/>
  <c r="O16" i="1"/>
  <c r="O13" i="1"/>
  <c r="O9" i="1"/>
  <c r="O19" i="1"/>
  <c r="O12" i="1"/>
  <c r="O17" i="1"/>
  <c r="O20" i="1"/>
  <c r="O24" i="1"/>
  <c r="O10" i="1"/>
  <c r="O21" i="1"/>
  <c r="O18" i="1"/>
  <c r="O14" i="1"/>
  <c r="AN9" i="1"/>
  <c r="AM8" i="1"/>
  <c r="AG116" i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/>
  <c r="AM9" i="1" l="1"/>
  <c r="AN10" i="1"/>
  <c r="AG139" i="1"/>
  <c r="AG128" i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L6" i="1"/>
  <c r="M6" i="1" l="1"/>
  <c r="N6" i="1" s="1"/>
  <c r="AJ6" i="1"/>
  <c r="AK6" i="1" s="1"/>
  <c r="AL6" i="1" s="1"/>
  <c r="AN11" i="1"/>
  <c r="AM10" i="1"/>
  <c r="AG151" i="1"/>
  <c r="AG140" i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M11" i="1" l="1"/>
  <c r="AN12" i="1"/>
  <c r="AG152" i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/>
  <c r="E61" i="1"/>
  <c r="G61" i="1" s="1"/>
  <c r="AN13" i="1" l="1"/>
  <c r="AM12" i="1"/>
  <c r="AG175" i="1"/>
  <c r="AG164" i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N14" i="1" l="1"/>
  <c r="AM13" i="1"/>
  <c r="AG176" i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/>
  <c r="AN15" i="1" l="1"/>
  <c r="AM14" i="1"/>
  <c r="AG199" i="1"/>
  <c r="AG188" i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N16" i="1" l="1"/>
  <c r="AM15" i="1"/>
  <c r="AG200" i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/>
  <c r="AN17" i="1" l="1"/>
  <c r="AM16" i="1"/>
  <c r="AG223" i="1"/>
  <c r="AG212" i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N18" i="1" l="1"/>
  <c r="AM17" i="1"/>
  <c r="AG224" i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M18" i="1" l="1"/>
  <c r="AN19" i="1"/>
  <c r="AN20" i="1" l="1"/>
  <c r="AM19" i="1"/>
  <c r="AM20" i="1" l="1"/>
  <c r="AN21" i="1"/>
  <c r="AN22" i="1" l="1"/>
  <c r="AM21" i="1"/>
  <c r="AN23" i="1" l="1"/>
  <c r="AM22" i="1"/>
  <c r="AM23" i="1" l="1"/>
  <c r="AN24" i="1"/>
  <c r="AN25" i="1" l="1"/>
  <c r="AM24" i="1"/>
  <c r="AN26" i="1" l="1"/>
  <c r="AM25" i="1"/>
  <c r="AM26" i="1" l="1"/>
  <c r="AN27" i="1"/>
  <c r="AM27" i="1" l="1"/>
  <c r="AN28" i="1"/>
  <c r="AN29" i="1" l="1"/>
  <c r="AM28" i="1"/>
  <c r="AN30" i="1" l="1"/>
  <c r="AM29" i="1"/>
  <c r="N70" i="1"/>
  <c r="AM30" i="1" l="1"/>
  <c r="AN31" i="1"/>
  <c r="AN32" i="1" l="1"/>
  <c r="AM31" i="1"/>
  <c r="AN33" i="1" l="1"/>
  <c r="AM32" i="1"/>
  <c r="AN34" i="1" l="1"/>
  <c r="AM33" i="1"/>
  <c r="AM34" i="1" l="1"/>
  <c r="AN35" i="1"/>
  <c r="AM35" i="1" l="1"/>
  <c r="AN36" i="1"/>
  <c r="AM36" i="1" l="1"/>
  <c r="AN37" i="1"/>
  <c r="AM37" i="1" l="1"/>
  <c r="AN38" i="1"/>
  <c r="AN39" i="1" l="1"/>
  <c r="AM38" i="1"/>
  <c r="AM39" i="1" l="1"/>
  <c r="AN40" i="1"/>
  <c r="AN41" i="1" l="1"/>
  <c r="AM40" i="1"/>
  <c r="AN42" i="1" l="1"/>
  <c r="AM41" i="1"/>
  <c r="AN43" i="1" l="1"/>
  <c r="AM42" i="1"/>
  <c r="AM43" i="1" l="1"/>
  <c r="AN44" i="1"/>
  <c r="AN45" i="1" l="1"/>
  <c r="AM44" i="1"/>
  <c r="AN46" i="1" l="1"/>
  <c r="AM45" i="1"/>
  <c r="AN47" i="1" l="1"/>
  <c r="AM46" i="1"/>
  <c r="AN48" i="1" l="1"/>
  <c r="AM47" i="1"/>
  <c r="AN49" i="1" l="1"/>
  <c r="AM48" i="1"/>
  <c r="AN50" i="1" l="1"/>
  <c r="AM49" i="1"/>
  <c r="AM50" i="1" l="1"/>
  <c r="AN51" i="1"/>
  <c r="AN52" i="1" l="1"/>
  <c r="AM51" i="1"/>
  <c r="AM52" i="1" l="1"/>
  <c r="AN53" i="1"/>
  <c r="AN54" i="1" l="1"/>
  <c r="AM53" i="1"/>
  <c r="AN55" i="1" l="1"/>
  <c r="AM54" i="1"/>
  <c r="AM55" i="1" l="1"/>
  <c r="AN56" i="1"/>
  <c r="AN57" i="1" l="1"/>
  <c r="AM56" i="1"/>
  <c r="AN58" i="1" l="1"/>
  <c r="AM57" i="1"/>
  <c r="AN59" i="1" l="1"/>
  <c r="AM58" i="1"/>
  <c r="AN60" i="1" l="1"/>
  <c r="AM59" i="1"/>
  <c r="AM60" i="1" l="1"/>
  <c r="AN61" i="1"/>
  <c r="AN62" i="1" l="1"/>
  <c r="AM61" i="1"/>
  <c r="AM62" i="1" l="1"/>
  <c r="AN63" i="1"/>
  <c r="AN64" i="1" l="1"/>
  <c r="AM63" i="1"/>
  <c r="AN65" i="1" l="1"/>
  <c r="AM64" i="1"/>
  <c r="AM65" i="1" l="1"/>
  <c r="AN66" i="1"/>
  <c r="AM66" i="1" l="1"/>
  <c r="AN67" i="1"/>
  <c r="AM67" i="1" l="1"/>
  <c r="AN68" i="1"/>
  <c r="AN69" i="1" l="1"/>
  <c r="AM68" i="1"/>
  <c r="AN70" i="1" l="1"/>
  <c r="AM69" i="1"/>
  <c r="AN71" i="1" l="1"/>
  <c r="AM70" i="1"/>
  <c r="AN72" i="1" l="1"/>
  <c r="AM71" i="1"/>
  <c r="AN73" i="1" l="1"/>
  <c r="AM72" i="1"/>
  <c r="AN74" i="1" l="1"/>
  <c r="AM73" i="1"/>
  <c r="AN75" i="1" l="1"/>
  <c r="AM74" i="1"/>
  <c r="AM75" i="1" l="1"/>
  <c r="AN76" i="1"/>
  <c r="AM76" i="1" l="1"/>
  <c r="AN77" i="1"/>
  <c r="AN78" i="1" l="1"/>
  <c r="AM77" i="1"/>
  <c r="AN79" i="1" l="1"/>
  <c r="AM78" i="1"/>
  <c r="AM79" i="1" l="1"/>
  <c r="AN80" i="1"/>
  <c r="AN81" i="1" l="1"/>
  <c r="AM80" i="1"/>
  <c r="AM81" i="1" l="1"/>
  <c r="AN82" i="1"/>
  <c r="AN83" i="1" l="1"/>
  <c r="AM82" i="1"/>
  <c r="AN84" i="1" l="1"/>
  <c r="AM83" i="1"/>
  <c r="AN85" i="1" l="1"/>
  <c r="AM84" i="1"/>
  <c r="AN86" i="1" l="1"/>
  <c r="AM85" i="1"/>
  <c r="AN87" i="1" l="1"/>
  <c r="AM86" i="1"/>
  <c r="AN88" i="1" l="1"/>
  <c r="AM87" i="1"/>
  <c r="AN89" i="1" l="1"/>
  <c r="AM88" i="1"/>
  <c r="AN90" i="1" l="1"/>
  <c r="AM89" i="1"/>
  <c r="AM90" i="1" l="1"/>
  <c r="AN91" i="1"/>
  <c r="AN92" i="1" l="1"/>
  <c r="AM91" i="1"/>
  <c r="AM92" i="1" l="1"/>
  <c r="AN93" i="1"/>
  <c r="AN94" i="1" l="1"/>
  <c r="AM93" i="1"/>
  <c r="AM94" i="1" l="1"/>
  <c r="AN95" i="1"/>
  <c r="AN96" i="1" l="1"/>
  <c r="AM95" i="1"/>
  <c r="AM96" i="1" l="1"/>
  <c r="AN97" i="1"/>
  <c r="AN98" i="1" l="1"/>
  <c r="AM97" i="1"/>
  <c r="AN99" i="1" l="1"/>
  <c r="AM98" i="1"/>
  <c r="AN100" i="1" l="1"/>
  <c r="AM99" i="1"/>
  <c r="AN101" i="1" l="1"/>
  <c r="AM100" i="1"/>
  <c r="AN102" i="1" l="1"/>
  <c r="AM101" i="1"/>
  <c r="AN103" i="1" l="1"/>
  <c r="AM102" i="1"/>
  <c r="AN104" i="1" l="1"/>
  <c r="AM103" i="1"/>
  <c r="AM104" i="1" l="1"/>
  <c r="AN105" i="1"/>
  <c r="AN106" i="1" l="1"/>
  <c r="AM105" i="1"/>
  <c r="AM106" i="1" l="1"/>
  <c r="AN107" i="1"/>
  <c r="AM107" i="1" l="1"/>
  <c r="AN108" i="1"/>
  <c r="AM108" i="1" l="1"/>
  <c r="AN109" i="1"/>
  <c r="AN110" i="1" l="1"/>
  <c r="AM109" i="1"/>
  <c r="AN111" i="1" l="1"/>
  <c r="AM110" i="1"/>
  <c r="AN112" i="1" l="1"/>
  <c r="AM111" i="1"/>
  <c r="AM112" i="1" l="1"/>
  <c r="AN113" i="1"/>
  <c r="AM113" i="1" l="1"/>
  <c r="AN114" i="1"/>
  <c r="AN115" i="1" l="1"/>
  <c r="AM114" i="1"/>
  <c r="AN116" i="1" l="1"/>
  <c r="AM115" i="1"/>
  <c r="AM116" i="1" l="1"/>
  <c r="AN117" i="1"/>
  <c r="AM117" i="1" l="1"/>
  <c r="AN118" i="1"/>
  <c r="AN119" i="1" l="1"/>
  <c r="AM118" i="1"/>
  <c r="AN120" i="1" l="1"/>
  <c r="AM119" i="1"/>
  <c r="AN121" i="1" l="1"/>
  <c r="AM120" i="1"/>
  <c r="AN122" i="1" l="1"/>
  <c r="AM121" i="1"/>
  <c r="AM122" i="1" l="1"/>
  <c r="AN123" i="1"/>
  <c r="AN124" i="1" l="1"/>
  <c r="AM123" i="1"/>
  <c r="AM124" i="1" l="1"/>
  <c r="AN125" i="1"/>
  <c r="AN126" i="1" l="1"/>
  <c r="AM125" i="1"/>
  <c r="AM126" i="1" l="1"/>
  <c r="AN127" i="1"/>
  <c r="AN128" i="1" l="1"/>
  <c r="AM127" i="1"/>
  <c r="AM128" i="1" l="1"/>
  <c r="AN129" i="1"/>
  <c r="AN130" i="1" l="1"/>
  <c r="AM129" i="1"/>
  <c r="AN131" i="1" l="1"/>
  <c r="AM130" i="1"/>
  <c r="AM131" i="1" l="1"/>
  <c r="AN132" i="1"/>
  <c r="AN133" i="1" l="1"/>
  <c r="AM132" i="1"/>
  <c r="AM133" i="1" l="1"/>
  <c r="AN134" i="1"/>
  <c r="AN135" i="1" l="1"/>
  <c r="AM134" i="1"/>
  <c r="AN136" i="1" l="1"/>
  <c r="AM135" i="1"/>
  <c r="AN137" i="1" l="1"/>
  <c r="AM136" i="1"/>
  <c r="AN138" i="1" l="1"/>
  <c r="AM137" i="1"/>
  <c r="AN139" i="1" l="1"/>
  <c r="AM138" i="1"/>
  <c r="AM139" i="1" l="1"/>
  <c r="AN140" i="1"/>
  <c r="AM140" i="1" l="1"/>
  <c r="AN141" i="1"/>
  <c r="AM141" i="1" l="1"/>
  <c r="AN142" i="1"/>
  <c r="AN143" i="1" l="1"/>
  <c r="AM142" i="1"/>
  <c r="AM143" i="1" l="1"/>
  <c r="AN144" i="1"/>
  <c r="AM144" i="1" l="1"/>
  <c r="AN145" i="1"/>
  <c r="AN146" i="1" l="1"/>
  <c r="AM145" i="1"/>
  <c r="AM146" i="1" l="1"/>
  <c r="AN147" i="1"/>
  <c r="AN148" i="1" l="1"/>
  <c r="AM147" i="1"/>
  <c r="AN149" i="1" l="1"/>
  <c r="AM148" i="1"/>
  <c r="AN150" i="1" l="1"/>
  <c r="AM149" i="1"/>
  <c r="AM150" i="1" l="1"/>
  <c r="AN151" i="1"/>
  <c r="AN152" i="1" l="1"/>
  <c r="AM151" i="1"/>
  <c r="AN153" i="1" l="1"/>
  <c r="AM152" i="1"/>
  <c r="AM153" i="1" l="1"/>
  <c r="AN154" i="1"/>
  <c r="AN155" i="1" l="1"/>
  <c r="AM154" i="1"/>
  <c r="AN156" i="1" l="1"/>
  <c r="AM155" i="1"/>
  <c r="AN157" i="1" l="1"/>
  <c r="AM156" i="1"/>
  <c r="AN158" i="1" l="1"/>
  <c r="AM157" i="1"/>
  <c r="AN159" i="1" l="1"/>
  <c r="AM158" i="1"/>
  <c r="AM159" i="1" l="1"/>
  <c r="AN160" i="1"/>
  <c r="AN161" i="1" l="1"/>
  <c r="AM160" i="1"/>
  <c r="AN162" i="1" l="1"/>
  <c r="AM161" i="1"/>
  <c r="AN163" i="1" l="1"/>
  <c r="AM162" i="1"/>
  <c r="AN164" i="1" l="1"/>
  <c r="AM163" i="1"/>
  <c r="AN165" i="1" l="1"/>
  <c r="AM164" i="1"/>
  <c r="AN166" i="1" l="1"/>
  <c r="AM165" i="1"/>
  <c r="AM166" i="1" l="1"/>
  <c r="AN167" i="1"/>
  <c r="AN168" i="1" l="1"/>
  <c r="AM167" i="1"/>
  <c r="AN169" i="1" l="1"/>
  <c r="AM168" i="1"/>
  <c r="AM169" i="1" l="1"/>
  <c r="AN170" i="1"/>
  <c r="AM170" i="1" l="1"/>
  <c r="AN171" i="1"/>
  <c r="AN172" i="1" l="1"/>
  <c r="AM171" i="1"/>
  <c r="AN173" i="1" l="1"/>
  <c r="AM172" i="1"/>
  <c r="AN174" i="1" l="1"/>
  <c r="AM173" i="1"/>
  <c r="AN175" i="1" l="1"/>
  <c r="AM174" i="1"/>
  <c r="AN176" i="1" l="1"/>
  <c r="AM175" i="1"/>
  <c r="AN177" i="1" l="1"/>
  <c r="AM176" i="1"/>
  <c r="AN178" i="1" l="1"/>
  <c r="AM177" i="1"/>
  <c r="AN179" i="1" l="1"/>
  <c r="AM178" i="1"/>
  <c r="AN180" i="1" l="1"/>
  <c r="AM179" i="1"/>
  <c r="AN181" i="1" l="1"/>
  <c r="AM180" i="1"/>
  <c r="AM181" i="1" l="1"/>
  <c r="AN182" i="1"/>
  <c r="AM182" i="1" l="1"/>
  <c r="AN183" i="1"/>
  <c r="AN184" i="1" l="1"/>
  <c r="AM183" i="1"/>
  <c r="AN185" i="1" l="1"/>
  <c r="AM184" i="1"/>
  <c r="AM185" i="1" l="1"/>
  <c r="AN186" i="1"/>
  <c r="AM186" i="1" l="1"/>
  <c r="AN187" i="1"/>
  <c r="AN188" i="1" l="1"/>
  <c r="AM187" i="1"/>
  <c r="AN189" i="1" l="1"/>
  <c r="AM188" i="1"/>
  <c r="AM189" i="1" l="1"/>
  <c r="AN190" i="1"/>
  <c r="AN191" i="1" l="1"/>
  <c r="AM190" i="1"/>
  <c r="AM191" i="1" l="1"/>
  <c r="AN192" i="1"/>
  <c r="AN193" i="1" l="1"/>
  <c r="AM192" i="1"/>
  <c r="AN194" i="1" l="1"/>
  <c r="AM193" i="1"/>
  <c r="AN195" i="1" l="1"/>
  <c r="AM194" i="1"/>
  <c r="AN196" i="1" l="1"/>
  <c r="AM195" i="1"/>
  <c r="AN197" i="1" l="1"/>
  <c r="AM196" i="1"/>
  <c r="AN198" i="1" l="1"/>
  <c r="AM197" i="1"/>
  <c r="AM198" i="1" l="1"/>
  <c r="AN199" i="1"/>
  <c r="AN200" i="1" l="1"/>
  <c r="AM199" i="1"/>
  <c r="AN201" i="1" l="1"/>
  <c r="AM200" i="1"/>
  <c r="AN202" i="1" l="1"/>
  <c r="AM201" i="1"/>
  <c r="AM202" i="1" l="1"/>
  <c r="AN203" i="1"/>
  <c r="AN204" i="1" l="1"/>
  <c r="AM203" i="1"/>
  <c r="AN205" i="1" l="1"/>
  <c r="AM204" i="1"/>
  <c r="AN206" i="1" l="1"/>
  <c r="AM205" i="1"/>
  <c r="AN207" i="1" l="1"/>
  <c r="AM206" i="1"/>
  <c r="AM207" i="1" l="1"/>
  <c r="AN208" i="1"/>
  <c r="AN209" i="1" l="1"/>
  <c r="AM208" i="1"/>
  <c r="AM209" i="1" l="1"/>
  <c r="AN210" i="1"/>
  <c r="AN211" i="1" l="1"/>
  <c r="AM210" i="1"/>
  <c r="AN212" i="1" l="1"/>
  <c r="AM211" i="1"/>
  <c r="AN213" i="1" l="1"/>
  <c r="AM212" i="1"/>
  <c r="AN214" i="1" l="1"/>
  <c r="AM213" i="1"/>
  <c r="AM214" i="1" l="1"/>
  <c r="AN215" i="1"/>
  <c r="AN216" i="1" l="1"/>
  <c r="AM215" i="1"/>
  <c r="AN217" i="1" l="1"/>
  <c r="AM216" i="1"/>
  <c r="AM217" i="1" l="1"/>
  <c r="AN218" i="1"/>
  <c r="AM218" i="1" l="1"/>
  <c r="AN219" i="1"/>
  <c r="AN220" i="1" l="1"/>
  <c r="AM219" i="1"/>
  <c r="AN221" i="1" l="1"/>
  <c r="AM220" i="1"/>
  <c r="AM221" i="1" l="1"/>
  <c r="AN222" i="1"/>
  <c r="AN223" i="1" l="1"/>
  <c r="AM222" i="1"/>
  <c r="AM223" i="1" l="1"/>
  <c r="AN224" i="1"/>
  <c r="AN225" i="1" l="1"/>
  <c r="AM224" i="1"/>
  <c r="AM225" i="1" l="1"/>
  <c r="AN226" i="1"/>
  <c r="AN227" i="1" l="1"/>
  <c r="AM226" i="1"/>
  <c r="AM227" i="1" l="1"/>
  <c r="AN228" i="1"/>
  <c r="AN229" i="1" l="1"/>
  <c r="AM228" i="1"/>
  <c r="AN230" i="1" l="1"/>
  <c r="AM229" i="1"/>
  <c r="AM230" i="1" l="1"/>
  <c r="AN231" i="1"/>
  <c r="AN232" i="1" l="1"/>
  <c r="AM231" i="1"/>
  <c r="AN233" i="1" l="1"/>
  <c r="AM232" i="1"/>
  <c r="AN234" i="1" l="1"/>
  <c r="AM233" i="1"/>
  <c r="AN235" i="1" l="1"/>
  <c r="AN236" i="1" s="1"/>
  <c r="AN237" i="1" s="1"/>
  <c r="AN238" i="1" s="1"/>
  <c r="AN239" i="1" s="1"/>
  <c r="AN240" i="1" s="1"/>
  <c r="AN241" i="1" s="1"/>
  <c r="AN242" i="1" s="1"/>
  <c r="AN243" i="1" s="1"/>
  <c r="AN244" i="1" s="1"/>
  <c r="AN245" i="1" s="1"/>
  <c r="AN246" i="1" s="1"/>
  <c r="AM234" i="1"/>
  <c r="AM235" i="1" l="1"/>
  <c r="E59" i="1" l="1"/>
  <c r="G59" i="1" s="1"/>
  <c r="G68" i="1" s="1"/>
  <c r="K6" i="1"/>
  <c r="L7" i="1" s="1"/>
  <c r="AG6" i="1" l="1"/>
  <c r="AJ7" i="1" s="1"/>
  <c r="N7" i="1"/>
  <c r="M7" i="1" s="1"/>
  <c r="AL7" i="1"/>
  <c r="L8" i="1" l="1"/>
  <c r="N8" i="1" s="1"/>
  <c r="AK7" i="1"/>
  <c r="AJ19" i="1"/>
  <c r="AL19" i="1" s="1"/>
  <c r="M8" i="1"/>
  <c r="L9" i="1"/>
  <c r="N9" i="1" s="1"/>
  <c r="AL8" i="1" l="1"/>
  <c r="AK19" i="1"/>
  <c r="AJ31" i="1"/>
  <c r="AL31" i="1" s="1"/>
  <c r="AL20" i="1"/>
  <c r="M9" i="1"/>
  <c r="L10" i="1"/>
  <c r="N10" i="1" s="1"/>
  <c r="AJ20" i="1" l="1"/>
  <c r="AK20" i="1"/>
  <c r="AL21" i="1"/>
  <c r="AJ43" i="1"/>
  <c r="AL43" i="1" s="1"/>
  <c r="AK31" i="1"/>
  <c r="AL32" i="1"/>
  <c r="AJ8" i="1"/>
  <c r="AK8" i="1"/>
  <c r="AL9" i="1"/>
  <c r="M10" i="1"/>
  <c r="L11" i="1"/>
  <c r="N11" i="1" s="1"/>
  <c r="AJ55" i="1" l="1"/>
  <c r="AL55" i="1" s="1"/>
  <c r="AL44" i="1"/>
  <c r="AK43" i="1"/>
  <c r="AK21" i="1"/>
  <c r="AJ21" i="1"/>
  <c r="AL22" i="1"/>
  <c r="AJ32" i="1"/>
  <c r="AL33" i="1"/>
  <c r="AK32" i="1"/>
  <c r="AL10" i="1"/>
  <c r="AJ9" i="1"/>
  <c r="AK9" i="1"/>
  <c r="M11" i="1"/>
  <c r="L12" i="1"/>
  <c r="N12" i="1" s="1"/>
  <c r="AK22" i="1" l="1"/>
  <c r="AL23" i="1"/>
  <c r="AJ22" i="1"/>
  <c r="AK33" i="1"/>
  <c r="AJ33" i="1"/>
  <c r="AL34" i="1"/>
  <c r="AL11" i="1"/>
  <c r="AJ10" i="1"/>
  <c r="E32" i="1" s="1"/>
  <c r="AK10" i="1"/>
  <c r="AL45" i="1"/>
  <c r="AK44" i="1"/>
  <c r="AJ44" i="1"/>
  <c r="AJ67" i="1"/>
  <c r="AL67" i="1" s="1"/>
  <c r="AL56" i="1"/>
  <c r="AK55" i="1"/>
  <c r="M12" i="1"/>
  <c r="L13" i="1"/>
  <c r="N13" i="1" s="1"/>
  <c r="E33" i="1" l="1"/>
  <c r="E35" i="1" s="1"/>
  <c r="F28" i="1"/>
  <c r="E30" i="1"/>
  <c r="E60" i="1"/>
  <c r="G69" i="1" s="1"/>
  <c r="G70" i="1" s="1"/>
  <c r="M72" i="1" s="1"/>
  <c r="AK34" i="1"/>
  <c r="AL35" i="1"/>
  <c r="AJ34" i="1"/>
  <c r="AK11" i="1"/>
  <c r="AJ11" i="1"/>
  <c r="AL12" i="1"/>
  <c r="AL57" i="1"/>
  <c r="AK56" i="1"/>
  <c r="AJ56" i="1"/>
  <c r="AK67" i="1"/>
  <c r="AL68" i="1"/>
  <c r="AJ79" i="1"/>
  <c r="AL79" i="1" s="1"/>
  <c r="AL46" i="1"/>
  <c r="AJ45" i="1"/>
  <c r="AK45" i="1"/>
  <c r="AJ23" i="1"/>
  <c r="AL24" i="1"/>
  <c r="AK23" i="1"/>
  <c r="M13" i="1"/>
  <c r="L14" i="1"/>
  <c r="N14" i="1" s="1"/>
  <c r="H33" i="1" l="1"/>
  <c r="H35" i="1" s="1"/>
  <c r="E44" i="1"/>
  <c r="H30" i="1"/>
  <c r="F30" i="1"/>
  <c r="N72" i="1"/>
  <c r="AL58" i="1"/>
  <c r="AK57" i="1"/>
  <c r="AJ57" i="1"/>
  <c r="AK12" i="1"/>
  <c r="AL13" i="1"/>
  <c r="AJ12" i="1"/>
  <c r="AJ46" i="1"/>
  <c r="AK46" i="1"/>
  <c r="AL47" i="1"/>
  <c r="AK68" i="1"/>
  <c r="AJ68" i="1"/>
  <c r="AL69" i="1"/>
  <c r="AJ91" i="1"/>
  <c r="AL91" i="1" s="1"/>
  <c r="AK79" i="1"/>
  <c r="AL80" i="1"/>
  <c r="AL36" i="1"/>
  <c r="AJ35" i="1"/>
  <c r="AK35" i="1"/>
  <c r="AJ24" i="1"/>
  <c r="AL25" i="1"/>
  <c r="AK24" i="1"/>
  <c r="M14" i="1"/>
  <c r="L15" i="1"/>
  <c r="N15" i="1" s="1"/>
  <c r="E43" i="1" l="1"/>
  <c r="H44" i="1"/>
  <c r="F44" i="1"/>
  <c r="AL70" i="1"/>
  <c r="AK69" i="1"/>
  <c r="AJ69" i="1"/>
  <c r="AJ36" i="1"/>
  <c r="AL37" i="1"/>
  <c r="AK36" i="1"/>
  <c r="AK91" i="1"/>
  <c r="AJ103" i="1"/>
  <c r="AL103" i="1" s="1"/>
  <c r="AL92" i="1"/>
  <c r="AJ25" i="1"/>
  <c r="AK25" i="1"/>
  <c r="AL26" i="1"/>
  <c r="AJ80" i="1"/>
  <c r="AK80" i="1"/>
  <c r="AL81" i="1"/>
  <c r="AK13" i="1"/>
  <c r="AJ13" i="1"/>
  <c r="AL14" i="1"/>
  <c r="AK47" i="1"/>
  <c r="AJ47" i="1"/>
  <c r="AL48" i="1"/>
  <c r="AL59" i="1"/>
  <c r="AJ58" i="1"/>
  <c r="AK58" i="1"/>
  <c r="M15" i="1"/>
  <c r="L16" i="1"/>
  <c r="N16" i="1" s="1"/>
  <c r="F43" i="1" l="1"/>
  <c r="H43" i="1"/>
  <c r="AK37" i="1"/>
  <c r="AL38" i="1"/>
  <c r="AJ37" i="1"/>
  <c r="AK26" i="1"/>
  <c r="AJ26" i="1"/>
  <c r="AL27" i="1"/>
  <c r="AL82" i="1"/>
  <c r="AJ81" i="1"/>
  <c r="AK81" i="1"/>
  <c r="AJ48" i="1"/>
  <c r="AK48" i="1"/>
  <c r="AL49" i="1"/>
  <c r="AL15" i="1"/>
  <c r="AK14" i="1"/>
  <c r="AJ14" i="1"/>
  <c r="AK103" i="1"/>
  <c r="AJ115" i="1"/>
  <c r="AL115" i="1" s="1"/>
  <c r="AL104" i="1"/>
  <c r="AJ59" i="1"/>
  <c r="AK59" i="1"/>
  <c r="AL60" i="1"/>
  <c r="AL93" i="1"/>
  <c r="AK92" i="1"/>
  <c r="AJ92" i="1"/>
  <c r="AK70" i="1"/>
  <c r="AJ70" i="1"/>
  <c r="AL71" i="1"/>
  <c r="M16" i="1"/>
  <c r="L17" i="1"/>
  <c r="N17" i="1" s="1"/>
  <c r="AL28" i="1" l="1"/>
  <c r="AJ27" i="1"/>
  <c r="AK27" i="1"/>
  <c r="AJ93" i="1"/>
  <c r="AL94" i="1"/>
  <c r="AK93" i="1"/>
  <c r="AK60" i="1"/>
  <c r="AJ60" i="1"/>
  <c r="AL61" i="1"/>
  <c r="AJ49" i="1"/>
  <c r="AL50" i="1"/>
  <c r="AK49" i="1"/>
  <c r="AK71" i="1"/>
  <c r="AJ71" i="1"/>
  <c r="AL72" i="1"/>
  <c r="AK104" i="1"/>
  <c r="AJ104" i="1"/>
  <c r="AL105" i="1"/>
  <c r="AK38" i="1"/>
  <c r="AJ38" i="1"/>
  <c r="AL39" i="1"/>
  <c r="AJ82" i="1"/>
  <c r="AK82" i="1"/>
  <c r="AL83" i="1"/>
  <c r="AK15" i="1"/>
  <c r="AL16" i="1"/>
  <c r="AJ15" i="1"/>
  <c r="AJ127" i="1"/>
  <c r="AL127" i="1" s="1"/>
  <c r="AL116" i="1"/>
  <c r="AK115" i="1"/>
  <c r="M17" i="1"/>
  <c r="L18" i="1"/>
  <c r="N18" i="1" s="1"/>
  <c r="AJ94" i="1" l="1"/>
  <c r="AK94" i="1"/>
  <c r="AL95" i="1"/>
  <c r="AL128" i="1"/>
  <c r="AK127" i="1"/>
  <c r="AJ139" i="1"/>
  <c r="AL139" i="1" s="1"/>
  <c r="AK83" i="1"/>
  <c r="AJ83" i="1"/>
  <c r="AL84" i="1"/>
  <c r="AK72" i="1"/>
  <c r="AL73" i="1"/>
  <c r="AJ72" i="1"/>
  <c r="AJ50" i="1"/>
  <c r="AL51" i="1"/>
  <c r="AK50" i="1"/>
  <c r="AJ39" i="1"/>
  <c r="AL40" i="1"/>
  <c r="AK39" i="1"/>
  <c r="AK16" i="1"/>
  <c r="AJ16" i="1"/>
  <c r="AL17" i="1"/>
  <c r="AJ105" i="1"/>
  <c r="AK105" i="1"/>
  <c r="AL106" i="1"/>
  <c r="AJ116" i="1"/>
  <c r="AK116" i="1"/>
  <c r="AL117" i="1"/>
  <c r="AJ61" i="1"/>
  <c r="AK61" i="1"/>
  <c r="AL62" i="1"/>
  <c r="AK28" i="1"/>
  <c r="AL29" i="1"/>
  <c r="AJ28" i="1"/>
  <c r="M18" i="1"/>
  <c r="L19" i="1"/>
  <c r="N19" i="1" s="1"/>
  <c r="AK62" i="1" l="1"/>
  <c r="AJ62" i="1"/>
  <c r="AL63" i="1"/>
  <c r="AL107" i="1"/>
  <c r="AJ106" i="1"/>
  <c r="AK106" i="1"/>
  <c r="AJ51" i="1"/>
  <c r="AK51" i="1"/>
  <c r="AL52" i="1"/>
  <c r="AL129" i="1"/>
  <c r="AK128" i="1"/>
  <c r="AJ128" i="1"/>
  <c r="AJ17" i="1"/>
  <c r="AL18" i="1"/>
  <c r="AK17" i="1"/>
  <c r="AJ117" i="1"/>
  <c r="AK117" i="1"/>
  <c r="AL118" i="1"/>
  <c r="AK73" i="1"/>
  <c r="AJ73" i="1"/>
  <c r="AL74" i="1"/>
  <c r="AL96" i="1"/>
  <c r="AK95" i="1"/>
  <c r="AJ95" i="1"/>
  <c r="AL30" i="1"/>
  <c r="AJ29" i="1"/>
  <c r="AK29" i="1"/>
  <c r="AL140" i="1"/>
  <c r="AJ151" i="1"/>
  <c r="AL151" i="1" s="1"/>
  <c r="AK139" i="1"/>
  <c r="AJ40" i="1"/>
  <c r="AK40" i="1"/>
  <c r="AL41" i="1"/>
  <c r="AL85" i="1"/>
  <c r="AK84" i="1"/>
  <c r="AJ84" i="1"/>
  <c r="M19" i="1"/>
  <c r="L20" i="1"/>
  <c r="N20" i="1" s="1"/>
  <c r="AK18" i="1" l="1"/>
  <c r="AJ18" i="1"/>
  <c r="AJ163" i="1"/>
  <c r="AL163" i="1" s="1"/>
  <c r="AK151" i="1"/>
  <c r="AL152" i="1"/>
  <c r="AL75" i="1"/>
  <c r="AK74" i="1"/>
  <c r="AJ74" i="1"/>
  <c r="AL64" i="1"/>
  <c r="AJ63" i="1"/>
  <c r="AK63" i="1"/>
  <c r="AL141" i="1"/>
  <c r="AJ140" i="1"/>
  <c r="AK140" i="1"/>
  <c r="AJ85" i="1"/>
  <c r="AL86" i="1"/>
  <c r="AK85" i="1"/>
  <c r="AJ118" i="1"/>
  <c r="AK118" i="1"/>
  <c r="AL119" i="1"/>
  <c r="AL130" i="1"/>
  <c r="AK129" i="1"/>
  <c r="AJ129" i="1"/>
  <c r="AJ96" i="1"/>
  <c r="AL97" i="1"/>
  <c r="AK96" i="1"/>
  <c r="AL108" i="1"/>
  <c r="AK107" i="1"/>
  <c r="AJ107" i="1"/>
  <c r="AL42" i="1"/>
  <c r="AJ41" i="1"/>
  <c r="AK41" i="1"/>
  <c r="AJ30" i="1"/>
  <c r="AK30" i="1"/>
  <c r="AJ52" i="1"/>
  <c r="AK52" i="1"/>
  <c r="AL53" i="1"/>
  <c r="M20" i="1"/>
  <c r="L21" i="1"/>
  <c r="N21" i="1" s="1"/>
  <c r="AK86" i="1" l="1"/>
  <c r="AL87" i="1"/>
  <c r="AJ86" i="1"/>
  <c r="AJ53" i="1"/>
  <c r="AL54" i="1"/>
  <c r="AK53" i="1"/>
  <c r="AJ130" i="1"/>
  <c r="AL131" i="1"/>
  <c r="AK130" i="1"/>
  <c r="AL153" i="1"/>
  <c r="AJ152" i="1"/>
  <c r="AK152" i="1"/>
  <c r="AL120" i="1"/>
  <c r="AJ119" i="1"/>
  <c r="AK119" i="1"/>
  <c r="AK163" i="1"/>
  <c r="AL164" i="1"/>
  <c r="AJ175" i="1"/>
  <c r="AL175" i="1" s="1"/>
  <c r="AJ42" i="1"/>
  <c r="AK42" i="1"/>
  <c r="AL76" i="1"/>
  <c r="AJ75" i="1"/>
  <c r="AK75" i="1"/>
  <c r="AL142" i="1"/>
  <c r="AK141" i="1"/>
  <c r="AJ141" i="1"/>
  <c r="AL109" i="1"/>
  <c r="AK108" i="1"/>
  <c r="AJ108" i="1"/>
  <c r="AJ97" i="1"/>
  <c r="AK97" i="1"/>
  <c r="AL98" i="1"/>
  <c r="AJ64" i="1"/>
  <c r="AL65" i="1"/>
  <c r="AK64" i="1"/>
  <c r="M21" i="1"/>
  <c r="L22" i="1"/>
  <c r="N22" i="1" s="1"/>
  <c r="AJ98" i="1" l="1"/>
  <c r="AL99" i="1"/>
  <c r="AK98" i="1"/>
  <c r="AK76" i="1"/>
  <c r="AL77" i="1"/>
  <c r="AJ76" i="1"/>
  <c r="AL121" i="1"/>
  <c r="AJ120" i="1"/>
  <c r="AK120" i="1"/>
  <c r="AK54" i="1"/>
  <c r="AJ54" i="1"/>
  <c r="AJ109" i="1"/>
  <c r="AL110" i="1"/>
  <c r="AK109" i="1"/>
  <c r="AJ142" i="1"/>
  <c r="AL143" i="1"/>
  <c r="AK142" i="1"/>
  <c r="AJ65" i="1"/>
  <c r="AK65" i="1"/>
  <c r="AL66" i="1"/>
  <c r="AL176" i="1"/>
  <c r="AJ187" i="1"/>
  <c r="AL187" i="1" s="1"/>
  <c r="AK175" i="1"/>
  <c r="AL154" i="1"/>
  <c r="AK153" i="1"/>
  <c r="AJ153" i="1"/>
  <c r="AK87" i="1"/>
  <c r="AL88" i="1"/>
  <c r="AJ87" i="1"/>
  <c r="AJ131" i="1"/>
  <c r="AK131" i="1"/>
  <c r="AL132" i="1"/>
  <c r="AK164" i="1"/>
  <c r="AL165" i="1"/>
  <c r="AJ164" i="1"/>
  <c r="M22" i="1"/>
  <c r="L23" i="1"/>
  <c r="N23" i="1" s="1"/>
  <c r="AK132" i="1" l="1"/>
  <c r="AL133" i="1"/>
  <c r="AJ132" i="1"/>
  <c r="AK77" i="1"/>
  <c r="AJ77" i="1"/>
  <c r="AL78" i="1"/>
  <c r="AK143" i="1"/>
  <c r="AJ143" i="1"/>
  <c r="AL144" i="1"/>
  <c r="AL122" i="1"/>
  <c r="AJ121" i="1"/>
  <c r="AK121" i="1"/>
  <c r="AK110" i="1"/>
  <c r="AJ110" i="1"/>
  <c r="AL111" i="1"/>
  <c r="AL89" i="1"/>
  <c r="AK88" i="1"/>
  <c r="AJ88" i="1"/>
  <c r="AK66" i="1"/>
  <c r="AJ66" i="1"/>
  <c r="AJ154" i="1"/>
  <c r="AL155" i="1"/>
  <c r="AK154" i="1"/>
  <c r="AJ165" i="1"/>
  <c r="AL166" i="1"/>
  <c r="AK165" i="1"/>
  <c r="AK99" i="1"/>
  <c r="AL100" i="1"/>
  <c r="AJ99" i="1"/>
  <c r="AJ199" i="1"/>
  <c r="AL199" i="1" s="1"/>
  <c r="AK187" i="1"/>
  <c r="AL188" i="1"/>
  <c r="AL177" i="1"/>
  <c r="AK176" i="1"/>
  <c r="AJ176" i="1"/>
  <c r="M23" i="1"/>
  <c r="L24" i="1"/>
  <c r="N24" i="1" s="1"/>
  <c r="AL112" i="1" l="1"/>
  <c r="AJ111" i="1"/>
  <c r="AK111" i="1"/>
  <c r="AK155" i="1"/>
  <c r="AL156" i="1"/>
  <c r="AJ155" i="1"/>
  <c r="AK188" i="1"/>
  <c r="AJ188" i="1"/>
  <c r="AL189" i="1"/>
  <c r="AL101" i="1"/>
  <c r="AK100" i="1"/>
  <c r="AJ100" i="1"/>
  <c r="AL90" i="1"/>
  <c r="AK89" i="1"/>
  <c r="AJ89" i="1"/>
  <c r="AJ211" i="1"/>
  <c r="AL211" i="1" s="1"/>
  <c r="AK199" i="1"/>
  <c r="AL200" i="1"/>
  <c r="AL123" i="1"/>
  <c r="AK122" i="1"/>
  <c r="AJ122" i="1"/>
  <c r="AJ133" i="1"/>
  <c r="AL134" i="1"/>
  <c r="AK133" i="1"/>
  <c r="AK78" i="1"/>
  <c r="AJ78" i="1"/>
  <c r="AL178" i="1"/>
  <c r="AK177" i="1"/>
  <c r="AJ177" i="1"/>
  <c r="AJ166" i="1"/>
  <c r="AK166" i="1"/>
  <c r="AL167" i="1"/>
  <c r="AK144" i="1"/>
  <c r="AL145" i="1"/>
  <c r="AJ144" i="1"/>
  <c r="M24" i="1"/>
  <c r="L25" i="1"/>
  <c r="N25" i="1" s="1"/>
  <c r="AJ90" i="1" l="1"/>
  <c r="AK90" i="1"/>
  <c r="AK156" i="1"/>
  <c r="AJ156" i="1"/>
  <c r="AL157" i="1"/>
  <c r="AL168" i="1"/>
  <c r="AK167" i="1"/>
  <c r="AJ167" i="1"/>
  <c r="AK178" i="1"/>
  <c r="AJ178" i="1"/>
  <c r="AL179" i="1"/>
  <c r="AL124" i="1"/>
  <c r="AK123" i="1"/>
  <c r="AJ123" i="1"/>
  <c r="AL212" i="1"/>
  <c r="AJ223" i="1"/>
  <c r="AL223" i="1" s="1"/>
  <c r="AK211" i="1"/>
  <c r="AL135" i="1"/>
  <c r="AK134" i="1"/>
  <c r="AJ134" i="1"/>
  <c r="AJ145" i="1"/>
  <c r="AK145" i="1"/>
  <c r="AL146" i="1"/>
  <c r="AJ200" i="1"/>
  <c r="AK200" i="1"/>
  <c r="AL201" i="1"/>
  <c r="AL102" i="1"/>
  <c r="AJ101" i="1"/>
  <c r="AK101" i="1"/>
  <c r="AK189" i="1"/>
  <c r="AL190" i="1"/>
  <c r="AJ189" i="1"/>
  <c r="AK112" i="1"/>
  <c r="AL113" i="1"/>
  <c r="AJ112" i="1"/>
  <c r="L26" i="1"/>
  <c r="N26" i="1" s="1"/>
  <c r="M25" i="1"/>
  <c r="AK223" i="1" l="1"/>
  <c r="AJ235" i="1"/>
  <c r="AL235" i="1" s="1"/>
  <c r="AL224" i="1"/>
  <c r="AL169" i="1"/>
  <c r="AK168" i="1"/>
  <c r="AJ168" i="1"/>
  <c r="AL213" i="1"/>
  <c r="AK212" i="1"/>
  <c r="AJ212" i="1"/>
  <c r="AJ157" i="1"/>
  <c r="AK157" i="1"/>
  <c r="AL158" i="1"/>
  <c r="AL125" i="1"/>
  <c r="AK124" i="1"/>
  <c r="AJ124" i="1"/>
  <c r="AJ179" i="1"/>
  <c r="AK179" i="1"/>
  <c r="AL180" i="1"/>
  <c r="AL191" i="1"/>
  <c r="AK190" i="1"/>
  <c r="AJ190" i="1"/>
  <c r="AK113" i="1"/>
  <c r="AL114" i="1"/>
  <c r="AJ113" i="1"/>
  <c r="AL202" i="1"/>
  <c r="AJ201" i="1"/>
  <c r="AK201" i="1"/>
  <c r="AJ135" i="1"/>
  <c r="AL136" i="1"/>
  <c r="AK135" i="1"/>
  <c r="AJ146" i="1"/>
  <c r="AK146" i="1"/>
  <c r="AL147" i="1"/>
  <c r="AJ102" i="1"/>
  <c r="AK102" i="1"/>
  <c r="AJ125" i="1" l="1"/>
  <c r="AK125" i="1"/>
  <c r="AL126" i="1"/>
  <c r="AK114" i="1"/>
  <c r="AJ114" i="1"/>
  <c r="AK169" i="1"/>
  <c r="AJ169" i="1"/>
  <c r="AL170" i="1"/>
  <c r="AL214" i="1"/>
  <c r="AJ213" i="1"/>
  <c r="AK213" i="1"/>
  <c r="AK158" i="1"/>
  <c r="AL159" i="1"/>
  <c r="AJ158" i="1"/>
  <c r="AL192" i="1"/>
  <c r="AJ191" i="1"/>
  <c r="AK191" i="1"/>
  <c r="AL225" i="1"/>
  <c r="AJ224" i="1"/>
  <c r="AK224" i="1"/>
  <c r="AJ180" i="1"/>
  <c r="AL181" i="1"/>
  <c r="AK180" i="1"/>
  <c r="AL137" i="1"/>
  <c r="AJ136" i="1"/>
  <c r="AK136" i="1"/>
  <c r="AK147" i="1"/>
  <c r="AJ147" i="1"/>
  <c r="AL148" i="1"/>
  <c r="AL203" i="1"/>
  <c r="AJ202" i="1"/>
  <c r="AK202" i="1"/>
  <c r="AK203" i="1" l="1"/>
  <c r="AL204" i="1"/>
  <c r="AJ203" i="1"/>
  <c r="AL193" i="1"/>
  <c r="AJ192" i="1"/>
  <c r="AK192" i="1"/>
  <c r="AK126" i="1"/>
  <c r="AJ126" i="1"/>
  <c r="AK137" i="1"/>
  <c r="AJ137" i="1"/>
  <c r="AL138" i="1"/>
  <c r="AJ170" i="1"/>
  <c r="AK170" i="1"/>
  <c r="AL171" i="1"/>
  <c r="AL182" i="1"/>
  <c r="AJ181" i="1"/>
  <c r="AK181" i="1"/>
  <c r="AK148" i="1"/>
  <c r="AL149" i="1"/>
  <c r="AJ148" i="1"/>
  <c r="AK159" i="1"/>
  <c r="AL160" i="1"/>
  <c r="AJ159" i="1"/>
  <c r="AJ225" i="1"/>
  <c r="AK225" i="1"/>
  <c r="AL226" i="1"/>
  <c r="AJ214" i="1"/>
  <c r="AK214" i="1"/>
  <c r="AL215" i="1"/>
  <c r="AL183" i="1" l="1"/>
  <c r="AK182" i="1"/>
  <c r="AJ182" i="1"/>
  <c r="AK193" i="1"/>
  <c r="AL194" i="1"/>
  <c r="AJ193" i="1"/>
  <c r="AJ160" i="1"/>
  <c r="AL161" i="1"/>
  <c r="AK160" i="1"/>
  <c r="AL150" i="1"/>
  <c r="AJ149" i="1"/>
  <c r="AK149" i="1"/>
  <c r="AJ215" i="1"/>
  <c r="AK215" i="1"/>
  <c r="AL216" i="1"/>
  <c r="AL205" i="1"/>
  <c r="AK204" i="1"/>
  <c r="AJ204" i="1"/>
  <c r="AJ171" i="1"/>
  <c r="AK171" i="1"/>
  <c r="AL172" i="1"/>
  <c r="AJ138" i="1"/>
  <c r="AK138" i="1"/>
  <c r="AL227" i="1"/>
  <c r="AJ226" i="1"/>
  <c r="AK226" i="1"/>
  <c r="AK172" i="1" l="1"/>
  <c r="AL173" i="1"/>
  <c r="AJ172" i="1"/>
  <c r="AK161" i="1"/>
  <c r="AJ161" i="1"/>
  <c r="AL162" i="1"/>
  <c r="AJ194" i="1"/>
  <c r="AK194" i="1"/>
  <c r="AL195" i="1"/>
  <c r="AL206" i="1"/>
  <c r="AK205" i="1"/>
  <c r="AJ205" i="1"/>
  <c r="AK216" i="1"/>
  <c r="AJ216" i="1"/>
  <c r="AL217" i="1"/>
  <c r="AJ227" i="1"/>
  <c r="AL228" i="1"/>
  <c r="AK227" i="1"/>
  <c r="AJ150" i="1"/>
  <c r="AK150" i="1"/>
  <c r="AJ183" i="1"/>
  <c r="AK183" i="1"/>
  <c r="AL184" i="1"/>
  <c r="AJ217" i="1" l="1"/>
  <c r="AL218" i="1"/>
  <c r="AK217" i="1"/>
  <c r="AK162" i="1"/>
  <c r="AJ162" i="1"/>
  <c r="AL174" i="1"/>
  <c r="AJ173" i="1"/>
  <c r="AK173" i="1"/>
  <c r="AJ184" i="1"/>
  <c r="AL185" i="1"/>
  <c r="AK184" i="1"/>
  <c r="AK206" i="1"/>
  <c r="AL207" i="1"/>
  <c r="AJ206" i="1"/>
  <c r="AL229" i="1"/>
  <c r="AK228" i="1"/>
  <c r="AJ228" i="1"/>
  <c r="AL196" i="1"/>
  <c r="AJ195" i="1"/>
  <c r="AK195" i="1"/>
  <c r="AL230" i="1" l="1"/>
  <c r="AK229" i="1"/>
  <c r="AJ229" i="1"/>
  <c r="AJ185" i="1"/>
  <c r="AK185" i="1"/>
  <c r="AL186" i="1"/>
  <c r="AL219" i="1"/>
  <c r="AJ218" i="1"/>
  <c r="AK218" i="1"/>
  <c r="AJ174" i="1"/>
  <c r="AK174" i="1"/>
  <c r="AJ207" i="1"/>
  <c r="AK207" i="1"/>
  <c r="AL208" i="1"/>
  <c r="AJ196" i="1"/>
  <c r="AK196" i="1"/>
  <c r="AL197" i="1"/>
  <c r="AK186" i="1" l="1"/>
  <c r="AJ186" i="1"/>
  <c r="AJ208" i="1"/>
  <c r="AL209" i="1"/>
  <c r="AK208" i="1"/>
  <c r="AL220" i="1"/>
  <c r="AK219" i="1"/>
  <c r="AJ219" i="1"/>
  <c r="AL198" i="1"/>
  <c r="AK197" i="1"/>
  <c r="AJ197" i="1"/>
  <c r="AL231" i="1"/>
  <c r="AK230" i="1"/>
  <c r="AJ230" i="1"/>
  <c r="AK220" i="1" l="1"/>
  <c r="AJ220" i="1"/>
  <c r="AL221" i="1"/>
  <c r="AL232" i="1"/>
  <c r="AK231" i="1"/>
  <c r="AJ231" i="1"/>
  <c r="AK209" i="1"/>
  <c r="AJ209" i="1"/>
  <c r="AL210" i="1"/>
  <c r="AK198" i="1"/>
  <c r="AJ198" i="1"/>
  <c r="AJ232" i="1" l="1"/>
  <c r="AK232" i="1"/>
  <c r="AL233" i="1"/>
  <c r="AJ221" i="1"/>
  <c r="AK221" i="1"/>
  <c r="AL222" i="1"/>
  <c r="AK210" i="1"/>
  <c r="AJ210" i="1"/>
  <c r="AJ222" i="1" l="1"/>
  <c r="AK222" i="1"/>
  <c r="AL234" i="1"/>
  <c r="AK233" i="1"/>
  <c r="AJ233" i="1"/>
  <c r="AK234" i="1" l="1"/>
  <c r="AJ234" i="1"/>
</calcChain>
</file>

<file path=xl/sharedStrings.xml><?xml version="1.0" encoding="utf-8"?>
<sst xmlns="http://schemas.openxmlformats.org/spreadsheetml/2006/main" count="453" uniqueCount="157">
  <si>
    <t>Первоочередная таблица</t>
  </si>
  <si>
    <t>руб./$</t>
  </si>
  <si>
    <t>руб./€</t>
  </si>
  <si>
    <t>Названия</t>
  </si>
  <si>
    <t>Суммы</t>
  </si>
  <si>
    <t>Доли</t>
  </si>
  <si>
    <t>№</t>
  </si>
  <si>
    <t>составляющих сумм</t>
  </si>
  <si>
    <t>составляющих</t>
  </si>
  <si>
    <t>п/п</t>
  </si>
  <si>
    <t>финансирования</t>
  </si>
  <si>
    <t>СФ ЛО</t>
  </si>
  <si>
    <t>Лизингового Объекта</t>
  </si>
  <si>
    <t>в рублях</t>
  </si>
  <si>
    <t>Оборудование</t>
  </si>
  <si>
    <t>Строительство</t>
  </si>
  <si>
    <t>"Местные услуги", в том числе:</t>
  </si>
  <si>
    <t>-</t>
  </si>
  <si>
    <t>%</t>
  </si>
  <si>
    <t>€</t>
  </si>
  <si>
    <t>Доля ДРИМЕКС</t>
  </si>
  <si>
    <t>Оборотные средства в ИСКР</t>
  </si>
  <si>
    <t>Фонд по "Товаро-Обменной Заправке" (ТОЗ)</t>
  </si>
  <si>
    <t>Подготовительные работы Лизингодателя (услуги)</t>
  </si>
  <si>
    <t>Общая Сумма Финансирования Лизингового Объекта</t>
  </si>
  <si>
    <t>€/ISKR</t>
  </si>
  <si>
    <t>Средняя</t>
  </si>
  <si>
    <t>оборачиваемость</t>
  </si>
  <si>
    <t>Эффективная Стоимость ЛО по Алгоритму ИСКР</t>
  </si>
  <si>
    <t>курсов нет</t>
  </si>
  <si>
    <t>Информационных</t>
  </si>
  <si>
    <t>Носителей Обмена</t>
  </si>
  <si>
    <t>Удешевление стоимости Лизингового Объекта, с учетом выросшей оборачиваемости Информационных Носителей Обмена</t>
  </si>
  <si>
    <t>Общая Сумма Непосредственных Затрат по ЛО</t>
  </si>
  <si>
    <t>Сумма финансирования Затрат по Лизингову Объекту</t>
  </si>
  <si>
    <t>Общая Сумма Сопутствующих Затрат по ЛО</t>
  </si>
  <si>
    <t xml:space="preserve">Менять значения в </t>
  </si>
  <si>
    <t xml:space="preserve"> поле</t>
  </si>
  <si>
    <t>Калькулятор для предварительных расчетов по проектам, в Алгоритме ИСКР</t>
  </si>
  <si>
    <t>P-27022021-Образец-1</t>
  </si>
  <si>
    <t>технологическое оборудование</t>
  </si>
  <si>
    <t>строительные работы</t>
  </si>
  <si>
    <t>сумма ЛО</t>
  </si>
  <si>
    <t>Стартовая</t>
  </si>
  <si>
    <t>Доля</t>
  </si>
  <si>
    <t>Затрат ЛО</t>
  </si>
  <si>
    <t>Непосредственных</t>
  </si>
  <si>
    <t>в ISKR</t>
  </si>
  <si>
    <t>Оборотных Cредств</t>
  </si>
  <si>
    <t>Шаг</t>
  </si>
  <si>
    <t>повышения</t>
  </si>
  <si>
    <t>Эквивалента</t>
  </si>
  <si>
    <t>ИНО</t>
  </si>
  <si>
    <t>Годы</t>
  </si>
  <si>
    <t>перехода</t>
  </si>
  <si>
    <t>Потенциал по</t>
  </si>
  <si>
    <t>товарному Обмену</t>
  </si>
  <si>
    <t>во внутренник ИНО</t>
  </si>
  <si>
    <t>к внешним €</t>
  </si>
  <si>
    <t>Аннулирование</t>
  </si>
  <si>
    <t>Через Товаро-Обмен</t>
  </si>
  <si>
    <t>Составляющие ссуды</t>
  </si>
  <si>
    <t>Ставки</t>
  </si>
  <si>
    <t>по подвижному транспортному средству</t>
  </si>
  <si>
    <t>Договорной срок пользования (лет)</t>
  </si>
  <si>
    <t>Процент разовой надбавки на стоимость автомобиля</t>
  </si>
  <si>
    <t>Цена автомобиля (с завода-изготовителя)</t>
  </si>
  <si>
    <t>Размер собственного участия при покрытии ущерба</t>
  </si>
  <si>
    <t>Годичное отчисление в «резервный фонд»</t>
  </si>
  <si>
    <t>Усредненная годичная выплата налогов на автомобиль</t>
  </si>
  <si>
    <t>Цена автомобиля (с учетом фондов ИСКР)</t>
  </si>
  <si>
    <t>Начало</t>
  </si>
  <si>
    <t>реализации проекта</t>
  </si>
  <si>
    <t xml:space="preserve">Всего, промежуточно: </t>
  </si>
  <si>
    <t>Эффективная стоимость транспортного средства, с учетом алгоритма ИСКР:</t>
  </si>
  <si>
    <t>Запланированное показатели покупательской способности вводимых ИСКР за продолжительность проекта:</t>
  </si>
  <si>
    <t xml:space="preserve">Калькулятор </t>
  </si>
  <si>
    <t>С учетом растоможки и утилизации</t>
  </si>
  <si>
    <t>экспорта</t>
  </si>
  <si>
    <t>Состовляющие</t>
  </si>
  <si>
    <t>показатели по экспорту</t>
  </si>
  <si>
    <t>Преимущества алгоритмы ИСКР</t>
  </si>
  <si>
    <t>Отсутствие показателей усиления покупательской способности за срок проекта:</t>
  </si>
  <si>
    <t>Диллеровская нагрузка на экспорт</t>
  </si>
  <si>
    <t>НДС на стоимость автомобиля</t>
  </si>
  <si>
    <t>Платежи по немецкому автострахованию</t>
  </si>
  <si>
    <t>Cобственное участие при покрытии ущерба</t>
  </si>
  <si>
    <t>Годичная выплата налогов на автомобиль</t>
  </si>
  <si>
    <t>По экспортному варианту дороже в разах или на сумму:</t>
  </si>
  <si>
    <t>Ставки платежей</t>
  </si>
  <si>
    <t>по месту</t>
  </si>
  <si>
    <t>Германия</t>
  </si>
  <si>
    <t>Россия</t>
  </si>
  <si>
    <t>Приобретение по "Местным услугам" (на месте)</t>
  </si>
  <si>
    <t>Активная Реклама на Движимых Средствах (АРДС)</t>
  </si>
  <si>
    <t>Преимущества по ИСКР</t>
  </si>
  <si>
    <t>По алгоритму ИСКР</t>
  </si>
  <si>
    <t>регистрации</t>
  </si>
  <si>
    <t>По модели ИСКО</t>
  </si>
  <si>
    <t>эксплуатации</t>
  </si>
  <si>
    <t>Удешевление по "Местным услугам" (на месте)</t>
  </si>
  <si>
    <t>по альтернативному экспорту транспортного средства вне системы ИСКР</t>
  </si>
  <si>
    <t>Сопоставимые показатели</t>
  </si>
  <si>
    <t>по использованию транспортного средства для представителей ДРИМЕКС по алгоритму ИСКР</t>
  </si>
  <si>
    <t>https://calcus.ru/rastamozhka-auto#sbor</t>
  </si>
  <si>
    <t>Платежи по автострахованию</t>
  </si>
  <si>
    <t>Эффективная стоимость транспортного средства по экспорту за период проекта:</t>
  </si>
  <si>
    <t>в €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</si>
  <si>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</si>
  <si>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</si>
  <si>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</si>
  <si>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</si>
  <si>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</si>
  <si>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</si>
  <si>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</si>
  <si>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</si>
  <si>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</si>
  <si>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Отктябрь</t>
  </si>
  <si>
    <t>Ноябрь</t>
  </si>
  <si>
    <t>Декабрь</t>
  </si>
  <si>
    <t xml:space="preserve">Месяц, Год начала проекта   </t>
  </si>
  <si>
    <t>№ п/п Месяца</t>
  </si>
  <si>
    <t>Порядковый</t>
  </si>
  <si>
    <t>Название</t>
  </si>
  <si>
    <t>номер</t>
  </si>
  <si>
    <t>месяцев</t>
  </si>
  <si>
    <t>месяца</t>
  </si>
  <si>
    <t>Оборотные средства в DRIMEX</t>
  </si>
  <si>
    <t>Фактический</t>
  </si>
  <si>
    <t>Общая Сумма Сопутствующих Затрат по Модели</t>
  </si>
  <si>
    <t>Сумма Сопутствующих Затрат по ЛО</t>
  </si>
  <si>
    <t>Сумма Сопутствующих Затрат по Будущим проектам</t>
  </si>
  <si>
    <t>Доля ДРИМЕКС по Будущим проектам</t>
  </si>
  <si>
    <t>Фонды по стимулированию спроса</t>
  </si>
  <si>
    <t>Фонды по стимулированию спроса по Будующим проектам</t>
  </si>
  <si>
    <t>Компенсация морально-материального ущерба cистеме ИСКР</t>
  </si>
  <si>
    <t>Счетчик</t>
  </si>
  <si>
    <t>дат</t>
  </si>
  <si>
    <t>начала</t>
  </si>
  <si>
    <t>Компоненты ввозимого Объекта согласно "Инвестиционного плана"</t>
  </si>
  <si>
    <t>"Местные услуги"</t>
  </si>
  <si>
    <t>Строительные услуги</t>
  </si>
  <si>
    <t>Прочие затраты</t>
  </si>
  <si>
    <r>
      <rPr>
        <b/>
        <sz val="11"/>
        <color theme="1"/>
        <rFont val="Calibri"/>
        <family val="2"/>
        <scheme val="minor"/>
      </rPr>
      <t>Сколько месяцев</t>
    </r>
    <r>
      <rPr>
        <sz val="11"/>
        <color theme="1"/>
        <rFont val="Calibri"/>
        <family val="2"/>
        <scheme val="minor"/>
      </rPr>
      <t xml:space="preserve"> с момета начала проекта на поставку </t>
    </r>
    <r>
      <rPr>
        <b/>
        <sz val="11"/>
        <color theme="1"/>
        <rFont val="Calibri"/>
        <family val="2"/>
        <scheme val="minor"/>
      </rPr>
      <t>1 Половинки</t>
    </r>
    <r>
      <rPr>
        <sz val="11"/>
        <color theme="1"/>
        <rFont val="Calibri"/>
        <family val="2"/>
        <scheme val="minor"/>
      </rPr>
      <t xml:space="preserve"> Объекта</t>
    </r>
  </si>
  <si>
    <r>
      <rPr>
        <b/>
        <sz val="11"/>
        <color theme="1"/>
        <rFont val="Calibri"/>
        <family val="2"/>
        <scheme val="minor"/>
      </rPr>
      <t>Сколько месяцев</t>
    </r>
    <r>
      <rPr>
        <sz val="11"/>
        <color theme="1"/>
        <rFont val="Calibri"/>
        <family val="2"/>
        <scheme val="minor"/>
      </rPr>
      <t xml:space="preserve"> с момета начала проекта на поставку </t>
    </r>
    <r>
      <rPr>
        <b/>
        <sz val="11"/>
        <color theme="1"/>
        <rFont val="Calibri"/>
        <family val="2"/>
        <scheme val="minor"/>
      </rPr>
      <t>2 Половинки</t>
    </r>
    <r>
      <rPr>
        <sz val="11"/>
        <color theme="1"/>
        <rFont val="Calibri"/>
        <family val="2"/>
        <scheme val="minor"/>
      </rPr>
      <t xml:space="preserve"> Объекта</t>
    </r>
  </si>
  <si>
    <r>
      <rPr>
        <b/>
        <sz val="11"/>
        <color theme="1"/>
        <rFont val="Calibri"/>
        <family val="2"/>
        <scheme val="minor"/>
      </rPr>
      <t>Доли</t>
    </r>
    <r>
      <rPr>
        <sz val="11"/>
        <color theme="1"/>
        <rFont val="Calibri"/>
        <family val="2"/>
        <scheme val="minor"/>
      </rPr>
      <t xml:space="preserve"> в процентах поставок </t>
    </r>
    <r>
      <rPr>
        <b/>
        <sz val="11"/>
        <color theme="1"/>
        <rFont val="Calibri"/>
        <family val="2"/>
        <scheme val="minor"/>
      </rPr>
      <t>Первых</t>
    </r>
    <r>
      <rPr>
        <sz val="11"/>
        <color theme="1"/>
        <rFont val="Calibri"/>
        <family val="2"/>
        <scheme val="minor"/>
      </rPr>
      <t xml:space="preserve"> половинок компонентов Объекта</t>
    </r>
  </si>
  <si>
    <t>"Интернациональное Агенство Безопасности" (ISA)</t>
  </si>
  <si>
    <t>"Сопутствующий" проект "Интернациональное Агенство Безопасности" (ISA)</t>
  </si>
  <si>
    <t>Оборотные средства в ИСКР (по "Вкладам" на проект)</t>
  </si>
  <si>
    <t>Возвратные "Вклады", Авансы и т.д.</t>
  </si>
  <si>
    <t>Общая сумма финансового участия Заказчика в формировании Объекта</t>
  </si>
  <si>
    <t>Общая сумма финансового участия Заказчика в проекте</t>
  </si>
  <si>
    <t>Оборотные средства в ИСКР (по Сопутствующим проектам)</t>
  </si>
  <si>
    <t>Вводная таблица</t>
  </si>
  <si>
    <t>для составления модели по проекту</t>
  </si>
  <si>
    <t>Всего Оборотных средств в ИСКР (на проект в целом)</t>
  </si>
  <si>
    <t>"Сопутствующие" проекты (с/х, здравоохранение, культура, наука, спорт)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</si>
</sst>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164" formatCode="#,##0&quot; руб.&quot;"/>
    <numFmt numFmtId="165" formatCode="#,##0&quot; ISKR&quot;"/>
    <numFmt numFmtId="166" formatCode="#,##0\ &quot;€&quot;"/>
    <numFmt numFmtId="167" formatCode="0.0000"/>
    <numFmt numFmtId="168" formatCode="#,##0_ ;[Red]\-#,##0\ "/>
    <numFmt numFmtId="169" formatCode="#,##0&quot; DR&quot;"/>
    <numFmt numFmtId="170" formatCode="0.0000%"/>
  </numFmts>
  <fonts count="13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6882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39BE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BEE395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E5ECE"/>
        <bgColor indexed="64"/>
      </patternFill>
    </fill>
    <fill>
      <patternFill patternType="solid">
        <fgColor rgb="FFC7A1E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E8EEF8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3D6BBD"/>
        <bgColor indexed="64"/>
      </patternFill>
    </fill>
    <fill>
      <patternFill patternType="solid">
        <fgColor rgb="FF27457B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9C9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81">
    <xf numFmtId="0" fontId="0" fillId="0" borderId="0" xfId="0"/>
    <xf numFmtId="10" fontId="0" fillId="0" borderId="0" xfId="0" applyNumberFormat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9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0" fontId="3" fillId="4" borderId="20" xfId="0" applyNumberFormat="1" applyFont="1" applyFill="1" applyBorder="1"/>
    <xf numFmtId="0" fontId="3" fillId="6" borderId="16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10" fontId="3" fillId="6" borderId="21" xfId="0" applyNumberFormat="1" applyFont="1" applyFill="1" applyBorder="1"/>
    <xf numFmtId="0" fontId="3" fillId="7" borderId="16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6" fontId="3" fillId="7" borderId="8" xfId="0" applyNumberFormat="1" applyFont="1" applyFill="1" applyBorder="1"/>
    <xf numFmtId="0" fontId="3" fillId="8" borderId="16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center"/>
    </xf>
    <xf numFmtId="6" fontId="3" fillId="5" borderId="8" xfId="0" applyNumberFormat="1" applyFont="1" applyFill="1" applyBorder="1"/>
    <xf numFmtId="0" fontId="3" fillId="10" borderId="16" xfId="0" applyFont="1" applyFill="1" applyBorder="1" applyAlignment="1">
      <alignment horizontal="center"/>
    </xf>
    <xf numFmtId="0" fontId="3" fillId="13" borderId="26" xfId="0" applyFont="1" applyFill="1" applyBorder="1" applyAlignment="1">
      <alignment horizontal="center"/>
    </xf>
    <xf numFmtId="0" fontId="4" fillId="13" borderId="10" xfId="0" applyFont="1" applyFill="1" applyBorder="1" applyAlignment="1">
      <alignment horizontal="left"/>
    </xf>
    <xf numFmtId="6" fontId="4" fillId="13" borderId="5" xfId="0" applyNumberFormat="1" applyFont="1" applyFill="1" applyBorder="1"/>
    <xf numFmtId="0" fontId="3" fillId="11" borderId="2" xfId="0" applyFont="1" applyFill="1" applyBorder="1" applyAlignment="1">
      <alignment horizontal="center"/>
    </xf>
    <xf numFmtId="0" fontId="3" fillId="11" borderId="23" xfId="0" applyFont="1" applyFill="1" applyBorder="1"/>
    <xf numFmtId="0" fontId="2" fillId="11" borderId="2" xfId="0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right"/>
    </xf>
    <xf numFmtId="164" fontId="3" fillId="5" borderId="8" xfId="0" applyNumberFormat="1" applyFont="1" applyFill="1" applyBorder="1"/>
    <xf numFmtId="164" fontId="3" fillId="7" borderId="8" xfId="0" applyNumberFormat="1" applyFont="1" applyFill="1" applyBorder="1"/>
    <xf numFmtId="164" fontId="3" fillId="5" borderId="1" xfId="0" applyNumberFormat="1" applyFont="1" applyFill="1" applyBorder="1"/>
    <xf numFmtId="6" fontId="2" fillId="11" borderId="1" xfId="0" applyNumberFormat="1" applyFont="1" applyFill="1" applyBorder="1"/>
    <xf numFmtId="164" fontId="2" fillId="11" borderId="1" xfId="0" applyNumberFormat="1" applyFont="1" applyFill="1" applyBorder="1"/>
    <xf numFmtId="10" fontId="2" fillId="11" borderId="24" xfId="0" applyNumberFormat="1" applyFont="1" applyFill="1" applyBorder="1"/>
    <xf numFmtId="6" fontId="3" fillId="13" borderId="7" xfId="0" applyNumberFormat="1" applyFont="1" applyFill="1" applyBorder="1"/>
    <xf numFmtId="0" fontId="3" fillId="2" borderId="26" xfId="0" applyFont="1" applyFill="1" applyBorder="1"/>
    <xf numFmtId="0" fontId="3" fillId="2" borderId="27" xfId="0" applyFont="1" applyFill="1" applyBorder="1"/>
    <xf numFmtId="10" fontId="1" fillId="5" borderId="24" xfId="0" applyNumberFormat="1" applyFont="1" applyFill="1" applyBorder="1"/>
    <xf numFmtId="0" fontId="2" fillId="11" borderId="2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3" fillId="5" borderId="8" xfId="0" applyNumberFormat="1" applyFont="1" applyFill="1" applyBorder="1" applyAlignment="1">
      <alignment horizontal="center"/>
    </xf>
    <xf numFmtId="3" fontId="3" fillId="7" borderId="8" xfId="0" applyNumberFormat="1" applyFont="1" applyFill="1" applyBorder="1" applyAlignment="1">
      <alignment horizontal="center"/>
    </xf>
    <xf numFmtId="3" fontId="3" fillId="5" borderId="7" xfId="0" applyNumberFormat="1" applyFont="1" applyFill="1" applyBorder="1" applyAlignment="1">
      <alignment horizontal="center"/>
    </xf>
    <xf numFmtId="0" fontId="2" fillId="11" borderId="15" xfId="0" applyFont="1" applyFill="1" applyBorder="1" applyAlignment="1">
      <alignment horizontal="right"/>
    </xf>
    <xf numFmtId="6" fontId="0" fillId="0" borderId="0" xfId="0" applyNumberFormat="1"/>
    <xf numFmtId="6" fontId="2" fillId="11" borderId="3" xfId="0" applyNumberFormat="1" applyFont="1" applyFill="1" applyBorder="1"/>
    <xf numFmtId="3" fontId="2" fillId="11" borderId="1" xfId="0" applyNumberFormat="1" applyFont="1" applyFill="1" applyBorder="1" applyAlignment="1">
      <alignment horizontal="center"/>
    </xf>
    <xf numFmtId="164" fontId="2" fillId="11" borderId="3" xfId="0" applyNumberFormat="1" applyFont="1" applyFill="1" applyBorder="1"/>
    <xf numFmtId="3" fontId="2" fillId="11" borderId="3" xfId="0" applyNumberFormat="1" applyFont="1" applyFill="1" applyBorder="1" applyAlignment="1">
      <alignment horizontal="center"/>
    </xf>
    <xf numFmtId="3" fontId="2" fillId="11" borderId="30" xfId="0" applyNumberFormat="1" applyFont="1" applyFill="1" applyBorder="1" applyAlignment="1">
      <alignment horizontal="center"/>
    </xf>
    <xf numFmtId="6" fontId="2" fillId="11" borderId="25" xfId="0" applyNumberFormat="1" applyFont="1" applyFill="1" applyBorder="1"/>
    <xf numFmtId="164" fontId="2" fillId="11" borderId="25" xfId="0" applyNumberFormat="1" applyFont="1" applyFill="1" applyBorder="1"/>
    <xf numFmtId="0" fontId="6" fillId="14" borderId="22" xfId="0" applyFont="1" applyFill="1" applyBorder="1" applyAlignment="1">
      <alignment horizontal="left"/>
    </xf>
    <xf numFmtId="6" fontId="6" fillId="14" borderId="3" xfId="0" applyNumberFormat="1" applyFont="1" applyFill="1" applyBorder="1"/>
    <xf numFmtId="164" fontId="6" fillId="14" borderId="1" xfId="0" applyNumberFormat="1" applyFont="1" applyFill="1" applyBorder="1"/>
    <xf numFmtId="3" fontId="6" fillId="14" borderId="3" xfId="0" applyNumberFormat="1" applyFont="1" applyFill="1" applyBorder="1" applyAlignment="1">
      <alignment horizontal="center"/>
    </xf>
    <xf numFmtId="10" fontId="6" fillId="14" borderId="24" xfId="0" applyNumberFormat="1" applyFont="1" applyFill="1" applyBorder="1"/>
    <xf numFmtId="10" fontId="3" fillId="15" borderId="20" xfId="0" applyNumberFormat="1" applyFont="1" applyFill="1" applyBorder="1"/>
    <xf numFmtId="10" fontId="3" fillId="15" borderId="21" xfId="0" applyNumberFormat="1" applyFont="1" applyFill="1" applyBorder="1"/>
    <xf numFmtId="3" fontId="3" fillId="15" borderId="8" xfId="0" applyNumberFormat="1" applyFont="1" applyFill="1" applyBorder="1" applyAlignment="1">
      <alignment horizontal="center"/>
    </xf>
    <xf numFmtId="6" fontId="1" fillId="3" borderId="7" xfId="0" applyNumberFormat="1" applyFont="1" applyFill="1" applyBorder="1"/>
    <xf numFmtId="6" fontId="1" fillId="3" borderId="8" xfId="0" applyNumberFormat="1" applyFont="1" applyFill="1" applyBorder="1"/>
    <xf numFmtId="6" fontId="6" fillId="3" borderId="28" xfId="0" applyNumberFormat="1" applyFont="1" applyFill="1" applyBorder="1"/>
    <xf numFmtId="6" fontId="2" fillId="3" borderId="13" xfId="0" applyNumberFormat="1" applyFont="1" applyFill="1" applyBorder="1"/>
    <xf numFmtId="0" fontId="5" fillId="2" borderId="31" xfId="0" applyFont="1" applyFill="1" applyBorder="1"/>
    <xf numFmtId="0" fontId="0" fillId="2" borderId="32" xfId="0" applyFill="1" applyBorder="1"/>
    <xf numFmtId="0" fontId="0" fillId="2" borderId="33" xfId="0" applyFill="1" applyBorder="1"/>
    <xf numFmtId="0" fontId="5" fillId="2" borderId="34" xfId="0" applyFont="1" applyFill="1" applyBorder="1" applyAlignment="1">
      <alignment horizontal="right"/>
    </xf>
    <xf numFmtId="0" fontId="0" fillId="3" borderId="34" xfId="0" applyFill="1" applyBorder="1"/>
    <xf numFmtId="0" fontId="5" fillId="2" borderId="35" xfId="0" applyFont="1" applyFill="1" applyBorder="1"/>
    <xf numFmtId="3" fontId="0" fillId="0" borderId="0" xfId="0" applyNumberFormat="1"/>
    <xf numFmtId="166" fontId="0" fillId="0" borderId="0" xfId="0" applyNumberFormat="1"/>
    <xf numFmtId="3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2" borderId="38" xfId="0" applyNumberFormat="1" applyFill="1" applyBorder="1" applyAlignment="1">
      <alignment horizontal="center"/>
    </xf>
    <xf numFmtId="3" fontId="0" fillId="2" borderId="21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9" fontId="0" fillId="3" borderId="39" xfId="0" applyNumberFormat="1" applyFill="1" applyBorder="1" applyAlignment="1">
      <alignment horizontal="center"/>
    </xf>
    <xf numFmtId="10" fontId="2" fillId="11" borderId="20" xfId="0" applyNumberFormat="1" applyFont="1" applyFill="1" applyBorder="1"/>
    <xf numFmtId="10" fontId="2" fillId="11" borderId="40" xfId="0" applyNumberFormat="1" applyFont="1" applyFill="1" applyBorder="1"/>
    <xf numFmtId="2" fontId="0" fillId="0" borderId="0" xfId="0" applyNumberFormat="1" applyAlignment="1">
      <alignment horizontal="center"/>
    </xf>
    <xf numFmtId="14" fontId="2" fillId="11" borderId="14" xfId="0" applyNumberFormat="1" applyFont="1" applyFill="1" applyBorder="1" applyAlignment="1">
      <alignment horizontal="center"/>
    </xf>
    <xf numFmtId="1" fontId="5" fillId="3" borderId="16" xfId="0" applyNumberFormat="1" applyFont="1" applyFill="1" applyBorder="1" applyAlignment="1">
      <alignment horizontal="center"/>
    </xf>
    <xf numFmtId="1" fontId="5" fillId="3" borderId="42" xfId="0" applyNumberFormat="1" applyFont="1" applyFill="1" applyBorder="1" applyAlignment="1">
      <alignment horizontal="center"/>
    </xf>
    <xf numFmtId="6" fontId="0" fillId="16" borderId="6" xfId="0" applyNumberFormat="1" applyFill="1" applyBorder="1"/>
    <xf numFmtId="6" fontId="0" fillId="16" borderId="44" xfId="0" applyNumberFormat="1" applyFill="1" applyBorder="1"/>
    <xf numFmtId="165" fontId="7" fillId="11" borderId="6" xfId="0" applyNumberFormat="1" applyFont="1" applyFill="1" applyBorder="1"/>
    <xf numFmtId="6" fontId="0" fillId="17" borderId="6" xfId="0" applyNumberFormat="1" applyFill="1" applyBorder="1"/>
    <xf numFmtId="6" fontId="0" fillId="17" borderId="44" xfId="0" applyNumberFormat="1" applyFill="1" applyBorder="1"/>
    <xf numFmtId="2" fontId="5" fillId="3" borderId="43" xfId="0" applyNumberFormat="1" applyFont="1" applyFill="1" applyBorder="1" applyAlignment="1">
      <alignment horizontal="center"/>
    </xf>
    <xf numFmtId="9" fontId="5" fillId="3" borderId="39" xfId="0" applyNumberFormat="1" applyFont="1" applyFill="1" applyBorder="1" applyAlignment="1">
      <alignment horizontal="center"/>
    </xf>
    <xf numFmtId="9" fontId="5" fillId="3" borderId="40" xfId="0" applyNumberFormat="1" applyFont="1" applyFill="1" applyBorder="1" applyAlignment="1">
      <alignment horizontal="center"/>
    </xf>
    <xf numFmtId="166" fontId="0" fillId="5" borderId="45" xfId="0" applyNumberFormat="1" applyFill="1" applyBorder="1"/>
    <xf numFmtId="10" fontId="0" fillId="5" borderId="3" xfId="0" applyNumberFormat="1" applyFill="1" applyBorder="1"/>
    <xf numFmtId="9" fontId="0" fillId="5" borderId="46" xfId="0" applyNumberFormat="1" applyFill="1" applyBorder="1" applyAlignment="1">
      <alignment horizontal="center"/>
    </xf>
    <xf numFmtId="167" fontId="0" fillId="18" borderId="6" xfId="0" applyNumberFormat="1" applyFill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19" borderId="10" xfId="0" applyFont="1" applyFill="1" applyBorder="1"/>
    <xf numFmtId="0" fontId="3" fillId="19" borderId="0" xfId="0" applyFont="1" applyFill="1" applyBorder="1"/>
    <xf numFmtId="6" fontId="3" fillId="5" borderId="6" xfId="0" applyNumberFormat="1" applyFont="1" applyFill="1" applyBorder="1"/>
    <xf numFmtId="6" fontId="3" fillId="2" borderId="6" xfId="0" applyNumberFormat="1" applyFont="1" applyFill="1" applyBorder="1"/>
    <xf numFmtId="6" fontId="3" fillId="2" borderId="4" xfId="0" applyNumberFormat="1" applyFont="1" applyFill="1" applyBorder="1"/>
    <xf numFmtId="6" fontId="3" fillId="5" borderId="4" xfId="0" applyNumberFormat="1" applyFont="1" applyFill="1" applyBorder="1"/>
    <xf numFmtId="0" fontId="3" fillId="2" borderId="2" xfId="0" applyFont="1" applyFill="1" applyBorder="1"/>
    <xf numFmtId="6" fontId="3" fillId="2" borderId="47" xfId="0" applyNumberFormat="1" applyFont="1" applyFill="1" applyBorder="1"/>
    <xf numFmtId="0" fontId="1" fillId="2" borderId="4" xfId="0" applyFont="1" applyFill="1" applyBorder="1" applyAlignment="1">
      <alignment horizontal="center"/>
    </xf>
    <xf numFmtId="0" fontId="9" fillId="20" borderId="2" xfId="0" applyFont="1" applyFill="1" applyBorder="1"/>
    <xf numFmtId="0" fontId="8" fillId="20" borderId="2" xfId="0" applyFont="1" applyFill="1" applyBorder="1"/>
    <xf numFmtId="0" fontId="8" fillId="20" borderId="47" xfId="0" applyFont="1" applyFill="1" applyBorder="1"/>
    <xf numFmtId="166" fontId="5" fillId="2" borderId="36" xfId="0" applyNumberFormat="1" applyFont="1" applyFill="1" applyBorder="1" applyAlignment="1">
      <alignment horizontal="center"/>
    </xf>
    <xf numFmtId="3" fontId="5" fillId="2" borderId="37" xfId="0" applyNumberFormat="1" applyFont="1" applyFill="1" applyBorder="1" applyAlignment="1">
      <alignment horizontal="center"/>
    </xf>
    <xf numFmtId="2" fontId="5" fillId="2" borderId="41" xfId="0" applyNumberFormat="1" applyFont="1" applyFill="1" applyBorder="1" applyAlignment="1">
      <alignment horizontal="center"/>
    </xf>
    <xf numFmtId="166" fontId="5" fillId="2" borderId="17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166" fontId="5" fillId="2" borderId="16" xfId="0" applyNumberFormat="1" applyFont="1" applyFill="1" applyBorder="1" applyAlignment="1">
      <alignment horizontal="center"/>
    </xf>
    <xf numFmtId="3" fontId="5" fillId="2" borderId="4" xfId="0" applyNumberFormat="1" applyFont="1" applyFill="1" applyBorder="1"/>
    <xf numFmtId="2" fontId="5" fillId="2" borderId="9" xfId="0" applyNumberFormat="1" applyFont="1" applyFill="1" applyBorder="1" applyAlignment="1">
      <alignment horizontal="center"/>
    </xf>
    <xf numFmtId="0" fontId="1" fillId="0" borderId="0" xfId="0" applyFont="1"/>
    <xf numFmtId="0" fontId="1" fillId="13" borderId="4" xfId="0" applyFont="1" applyFill="1" applyBorder="1" applyAlignment="1">
      <alignment horizontal="center"/>
    </xf>
    <xf numFmtId="0" fontId="3" fillId="13" borderId="12" xfId="0" applyFont="1" applyFill="1" applyBorder="1"/>
    <xf numFmtId="0" fontId="1" fillId="13" borderId="49" xfId="0" applyFont="1" applyFill="1" applyBorder="1" applyAlignment="1">
      <alignment horizontal="center"/>
    </xf>
    <xf numFmtId="0" fontId="3" fillId="21" borderId="10" xfId="0" applyFont="1" applyFill="1" applyBorder="1"/>
    <xf numFmtId="0" fontId="3" fillId="21" borderId="48" xfId="0" applyFont="1" applyFill="1" applyBorder="1"/>
    <xf numFmtId="0" fontId="3" fillId="21" borderId="0" xfId="0" applyFont="1" applyFill="1" applyBorder="1"/>
    <xf numFmtId="0" fontId="3" fillId="21" borderId="11" xfId="0" applyFont="1" applyFill="1" applyBorder="1"/>
    <xf numFmtId="0" fontId="3" fillId="21" borderId="49" xfId="0" applyFont="1" applyFill="1" applyBorder="1"/>
    <xf numFmtId="0" fontId="3" fillId="21" borderId="12" xfId="0" applyFont="1" applyFill="1" applyBorder="1"/>
    <xf numFmtId="6" fontId="3" fillId="2" borderId="2" xfId="0" applyNumberFormat="1" applyFont="1" applyFill="1" applyBorder="1"/>
    <xf numFmtId="0" fontId="0" fillId="20" borderId="2" xfId="0" applyFill="1" applyBorder="1"/>
    <xf numFmtId="10" fontId="3" fillId="3" borderId="6" xfId="0" applyNumberFormat="1" applyFont="1" applyFill="1" applyBorder="1" applyAlignment="1">
      <alignment horizontal="right"/>
    </xf>
    <xf numFmtId="10" fontId="3" fillId="3" borderId="6" xfId="0" applyNumberFormat="1" applyFont="1" applyFill="1" applyBorder="1"/>
    <xf numFmtId="10" fontId="3" fillId="3" borderId="4" xfId="0" applyNumberFormat="1" applyFont="1" applyFill="1" applyBorder="1"/>
    <xf numFmtId="10" fontId="9" fillId="11" borderId="6" xfId="0" applyNumberFormat="1" applyFont="1" applyFill="1" applyBorder="1" applyAlignment="1">
      <alignment horizontal="center"/>
    </xf>
    <xf numFmtId="166" fontId="7" fillId="23" borderId="47" xfId="0" applyNumberFormat="1" applyFont="1" applyFill="1" applyBorder="1" applyAlignment="1">
      <alignment horizontal="right"/>
    </xf>
    <xf numFmtId="9" fontId="3" fillId="3" borderId="6" xfId="0" applyNumberFormat="1" applyFont="1" applyFill="1" applyBorder="1"/>
    <xf numFmtId="10" fontId="4" fillId="5" borderId="6" xfId="0" applyNumberFormat="1" applyFont="1" applyFill="1" applyBorder="1" applyAlignment="1">
      <alignment horizontal="right"/>
    </xf>
    <xf numFmtId="0" fontId="2" fillId="12" borderId="0" xfId="0" applyFont="1" applyFill="1" applyBorder="1" applyAlignment="1">
      <alignment horizontal="left"/>
    </xf>
    <xf numFmtId="165" fontId="2" fillId="20" borderId="6" xfId="0" applyNumberFormat="1" applyFont="1" applyFill="1" applyBorder="1"/>
    <xf numFmtId="0" fontId="2" fillId="20" borderId="0" xfId="0" applyFont="1" applyFill="1" applyBorder="1" applyAlignment="1">
      <alignment horizontal="left"/>
    </xf>
    <xf numFmtId="6" fontId="6" fillId="20" borderId="6" xfId="0" applyNumberFormat="1" applyFont="1" applyFill="1" applyBorder="1"/>
    <xf numFmtId="0" fontId="2" fillId="12" borderId="8" xfId="0" applyFont="1" applyFill="1" applyBorder="1" applyAlignment="1">
      <alignment horizontal="left"/>
    </xf>
    <xf numFmtId="0" fontId="3" fillId="20" borderId="0" xfId="0" applyFont="1" applyFill="1" applyBorder="1"/>
    <xf numFmtId="0" fontId="2" fillId="20" borderId="0" xfId="0" applyFont="1" applyFill="1" applyBorder="1"/>
    <xf numFmtId="0" fontId="2" fillId="20" borderId="11" xfId="0" applyFont="1" applyFill="1" applyBorder="1"/>
    <xf numFmtId="165" fontId="9" fillId="20" borderId="6" xfId="0" applyNumberFormat="1" applyFont="1" applyFill="1" applyBorder="1" applyAlignment="1">
      <alignment horizontal="center"/>
    </xf>
    <xf numFmtId="165" fontId="4" fillId="24" borderId="6" xfId="0" applyNumberFormat="1" applyFont="1" applyFill="1" applyBorder="1" applyAlignment="1">
      <alignment horizontal="center"/>
    </xf>
    <xf numFmtId="6" fontId="9" fillId="20" borderId="0" xfId="0" applyNumberFormat="1" applyFont="1" applyFill="1" applyBorder="1" applyAlignment="1">
      <alignment horizontal="right"/>
    </xf>
    <xf numFmtId="6" fontId="3" fillId="5" borderId="0" xfId="0" applyNumberFormat="1" applyFont="1" applyFill="1" applyBorder="1"/>
    <xf numFmtId="1" fontId="1" fillId="5" borderId="3" xfId="0" applyNumberFormat="1" applyFont="1" applyFill="1" applyBorder="1" applyAlignment="1">
      <alignment horizontal="center"/>
    </xf>
    <xf numFmtId="1" fontId="1" fillId="5" borderId="3" xfId="0" applyNumberFormat="1" applyFont="1" applyFill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10" fillId="0" borderId="0" xfId="1" applyNumberFormat="1" applyAlignment="1">
      <alignment horizontal="left"/>
    </xf>
    <xf numFmtId="0" fontId="3" fillId="13" borderId="50" xfId="0" applyFont="1" applyFill="1" applyBorder="1"/>
    <xf numFmtId="0" fontId="1" fillId="13" borderId="51" xfId="0" applyFont="1" applyFill="1" applyBorder="1"/>
    <xf numFmtId="0" fontId="3" fillId="13" borderId="52" xfId="0" applyFont="1" applyFill="1" applyBorder="1"/>
    <xf numFmtId="0" fontId="1" fillId="13" borderId="37" xfId="0" applyFont="1" applyFill="1" applyBorder="1" applyAlignment="1">
      <alignment horizontal="center"/>
    </xf>
    <xf numFmtId="0" fontId="1" fillId="13" borderId="38" xfId="0" applyFont="1" applyFill="1" applyBorder="1" applyAlignment="1">
      <alignment horizontal="center"/>
    </xf>
    <xf numFmtId="0" fontId="3" fillId="13" borderId="27" xfId="0" applyFont="1" applyFill="1" applyBorder="1"/>
    <xf numFmtId="0" fontId="1" fillId="13" borderId="18" xfId="0" applyFont="1" applyFill="1" applyBorder="1" applyAlignment="1">
      <alignment horizontal="center"/>
    </xf>
    <xf numFmtId="0" fontId="3" fillId="21" borderId="26" xfId="0" applyFont="1" applyFill="1" applyBorder="1"/>
    <xf numFmtId="168" fontId="1" fillId="5" borderId="24" xfId="0" applyNumberFormat="1" applyFont="1" applyFill="1" applyBorder="1"/>
    <xf numFmtId="0" fontId="3" fillId="22" borderId="53" xfId="0" applyFont="1" applyFill="1" applyBorder="1"/>
    <xf numFmtId="6" fontId="3" fillId="5" borderId="21" xfId="0" applyNumberFormat="1" applyFont="1" applyFill="1" applyBorder="1"/>
    <xf numFmtId="0" fontId="2" fillId="20" borderId="53" xfId="0" applyFont="1" applyFill="1" applyBorder="1"/>
    <xf numFmtId="0" fontId="9" fillId="11" borderId="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6" fontId="2" fillId="11" borderId="21" xfId="0" applyNumberFormat="1" applyFont="1" applyFill="1" applyBorder="1" applyAlignment="1">
      <alignment horizontal="center"/>
    </xf>
    <xf numFmtId="0" fontId="2" fillId="12" borderId="53" xfId="0" applyFont="1" applyFill="1" applyBorder="1" applyAlignment="1">
      <alignment horizontal="left"/>
    </xf>
    <xf numFmtId="165" fontId="4" fillId="24" borderId="21" xfId="0" applyNumberFormat="1" applyFont="1" applyFill="1" applyBorder="1" applyAlignment="1">
      <alignment horizontal="center"/>
    </xf>
    <xf numFmtId="0" fontId="3" fillId="21" borderId="53" xfId="0" applyFont="1" applyFill="1" applyBorder="1"/>
    <xf numFmtId="166" fontId="3" fillId="5" borderId="21" xfId="0" applyNumberFormat="1" applyFont="1" applyFill="1" applyBorder="1"/>
    <xf numFmtId="0" fontId="3" fillId="21" borderId="27" xfId="0" applyFont="1" applyFill="1" applyBorder="1"/>
    <xf numFmtId="6" fontId="3" fillId="5" borderId="18" xfId="0" applyNumberFormat="1" applyFont="1" applyFill="1" applyBorder="1"/>
    <xf numFmtId="0" fontId="3" fillId="2" borderId="22" xfId="0" applyFont="1" applyFill="1" applyBorder="1"/>
    <xf numFmtId="6" fontId="3" fillId="2" borderId="46" xfId="0" applyNumberFormat="1" applyFont="1" applyFill="1" applyBorder="1"/>
    <xf numFmtId="0" fontId="9" fillId="20" borderId="22" xfId="0" applyFont="1" applyFill="1" applyBorder="1"/>
    <xf numFmtId="165" fontId="8" fillId="20" borderId="24" xfId="0" applyNumberFormat="1" applyFont="1" applyFill="1" applyBorder="1"/>
    <xf numFmtId="0" fontId="9" fillId="11" borderId="54" xfId="0" applyFont="1" applyFill="1" applyBorder="1"/>
    <xf numFmtId="0" fontId="0" fillId="11" borderId="25" xfId="0" applyFill="1" applyBorder="1"/>
    <xf numFmtId="0" fontId="8" fillId="11" borderId="55" xfId="0" applyFont="1" applyFill="1" applyBorder="1"/>
    <xf numFmtId="0" fontId="8" fillId="11" borderId="56" xfId="0" applyFont="1" applyFill="1" applyBorder="1"/>
    <xf numFmtId="0" fontId="1" fillId="2" borderId="36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19" borderId="19" xfId="0" applyFont="1" applyFill="1" applyBorder="1" applyAlignment="1">
      <alignment horizontal="center"/>
    </xf>
    <xf numFmtId="168" fontId="1" fillId="3" borderId="24" xfId="0" applyNumberFormat="1" applyFont="1" applyFill="1" applyBorder="1" applyAlignment="1">
      <alignment horizontal="right"/>
    </xf>
    <xf numFmtId="0" fontId="1" fillId="19" borderId="16" xfId="0" applyFont="1" applyFill="1" applyBorder="1" applyAlignment="1">
      <alignment horizontal="center"/>
    </xf>
    <xf numFmtId="0" fontId="2" fillId="11" borderId="39" xfId="0" applyFont="1" applyFill="1" applyBorder="1" applyAlignment="1">
      <alignment horizontal="center"/>
    </xf>
    <xf numFmtId="6" fontId="4" fillId="5" borderId="21" xfId="0" applyNumberFormat="1" applyFont="1" applyFill="1" applyBorder="1" applyAlignment="1">
      <alignment horizontal="right"/>
    </xf>
    <xf numFmtId="0" fontId="3" fillId="2" borderId="22" xfId="0" applyFont="1" applyFill="1" applyBorder="1" applyAlignment="1">
      <alignment horizontal="center"/>
    </xf>
    <xf numFmtId="0" fontId="8" fillId="20" borderId="22" xfId="0" applyFont="1" applyFill="1" applyBorder="1"/>
    <xf numFmtId="0" fontId="8" fillId="11" borderId="54" xfId="0" applyFont="1" applyFill="1" applyBorder="1"/>
    <xf numFmtId="0" fontId="9" fillId="11" borderId="25" xfId="0" applyFont="1" applyFill="1" applyBorder="1"/>
    <xf numFmtId="0" fontId="8" fillId="11" borderId="25" xfId="0" applyFont="1" applyFill="1" applyBorder="1"/>
    <xf numFmtId="4" fontId="7" fillId="25" borderId="3" xfId="0" applyNumberFormat="1" applyFont="1" applyFill="1" applyBorder="1"/>
    <xf numFmtId="0" fontId="5" fillId="26" borderId="1" xfId="0" applyFont="1" applyFill="1" applyBorder="1"/>
    <xf numFmtId="0" fontId="0" fillId="26" borderId="2" xfId="0" applyFill="1" applyBorder="1"/>
    <xf numFmtId="166" fontId="0" fillId="26" borderId="2" xfId="0" applyNumberFormat="1" applyFill="1" applyBorder="1"/>
    <xf numFmtId="3" fontId="0" fillId="26" borderId="2" xfId="0" applyNumberFormat="1" applyFill="1" applyBorder="1"/>
    <xf numFmtId="167" fontId="5" fillId="3" borderId="3" xfId="0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166" fontId="0" fillId="2" borderId="36" xfId="0" applyNumberFormat="1" applyFill="1" applyBorder="1" applyAlignment="1">
      <alignment horizontal="center"/>
    </xf>
    <xf numFmtId="3" fontId="0" fillId="2" borderId="37" xfId="0" applyNumberFormat="1" applyFill="1" applyBorder="1" applyAlignment="1">
      <alignment horizontal="center"/>
    </xf>
    <xf numFmtId="2" fontId="0" fillId="2" borderId="41" xfId="0" applyNumberFormat="1" applyFill="1" applyBorder="1" applyAlignment="1">
      <alignment horizontal="center"/>
    </xf>
    <xf numFmtId="10" fontId="0" fillId="2" borderId="38" xfId="0" applyNumberFormat="1" applyFill="1" applyBorder="1" applyAlignment="1">
      <alignment horizontal="center"/>
    </xf>
    <xf numFmtId="166" fontId="0" fillId="2" borderId="1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10" fontId="0" fillId="2" borderId="21" xfId="0" applyNumberFormat="1" applyFill="1" applyBorder="1" applyAlignment="1">
      <alignment horizontal="center"/>
    </xf>
    <xf numFmtId="166" fontId="0" fillId="2" borderId="16" xfId="0" applyNumberFormat="1" applyFill="1" applyBorder="1" applyAlignment="1">
      <alignment horizontal="center"/>
    </xf>
    <xf numFmtId="3" fontId="0" fillId="2" borderId="4" xfId="0" applyNumberFormat="1" applyFill="1" applyBorder="1"/>
    <xf numFmtId="2" fontId="0" fillId="2" borderId="9" xfId="0" applyNumberFormat="1" applyFill="1" applyBorder="1" applyAlignment="1">
      <alignment horizontal="center"/>
    </xf>
    <xf numFmtId="10" fontId="0" fillId="2" borderId="18" xfId="0" applyNumberFormat="1" applyFill="1" applyBorder="1" applyAlignment="1">
      <alignment horizontal="center"/>
    </xf>
    <xf numFmtId="10" fontId="0" fillId="5" borderId="47" xfId="0" applyNumberFormat="1" applyFill="1" applyBorder="1"/>
    <xf numFmtId="167" fontId="5" fillId="5" borderId="3" xfId="0" applyNumberFormat="1" applyFont="1" applyFill="1" applyBorder="1" applyAlignment="1">
      <alignment horizontal="center"/>
    </xf>
    <xf numFmtId="10" fontId="0" fillId="5" borderId="46" xfId="0" applyNumberFormat="1" applyFill="1" applyBorder="1" applyAlignment="1">
      <alignment horizontal="center"/>
    </xf>
    <xf numFmtId="1" fontId="5" fillId="27" borderId="16" xfId="0" applyNumberFormat="1" applyFont="1" applyFill="1" applyBorder="1" applyAlignment="1">
      <alignment horizontal="center"/>
    </xf>
    <xf numFmtId="1" fontId="5" fillId="28" borderId="11" xfId="0" applyNumberFormat="1" applyFont="1" applyFill="1" applyBorder="1" applyAlignment="1">
      <alignment horizontal="center"/>
    </xf>
    <xf numFmtId="6" fontId="5" fillId="16" borderId="6" xfId="0" applyNumberFormat="1" applyFont="1" applyFill="1" applyBorder="1"/>
    <xf numFmtId="6" fontId="5" fillId="17" borderId="6" xfId="0" applyNumberFormat="1" applyFont="1" applyFill="1" applyBorder="1"/>
    <xf numFmtId="10" fontId="5" fillId="27" borderId="20" xfId="0" applyNumberFormat="1" applyFont="1" applyFill="1" applyBorder="1" applyAlignment="1">
      <alignment horizontal="center"/>
    </xf>
    <xf numFmtId="10" fontId="0" fillId="27" borderId="21" xfId="0" applyNumberFormat="1" applyFill="1" applyBorder="1" applyAlignment="1">
      <alignment horizontal="center"/>
    </xf>
    <xf numFmtId="1" fontId="5" fillId="27" borderId="17" xfId="0" applyNumberFormat="1" applyFont="1" applyFill="1" applyBorder="1" applyAlignment="1">
      <alignment horizontal="center"/>
    </xf>
    <xf numFmtId="1" fontId="5" fillId="28" borderId="4" xfId="0" applyNumberFormat="1" applyFont="1" applyFill="1" applyBorder="1" applyAlignment="1">
      <alignment horizontal="center"/>
    </xf>
    <xf numFmtId="6" fontId="0" fillId="16" borderId="4" xfId="0" applyNumberFormat="1" applyFill="1" applyBorder="1"/>
    <xf numFmtId="165" fontId="7" fillId="11" borderId="4" xfId="0" applyNumberFormat="1" applyFont="1" applyFill="1" applyBorder="1"/>
    <xf numFmtId="6" fontId="0" fillId="17" borderId="4" xfId="0" applyNumberFormat="1" applyFill="1" applyBorder="1"/>
    <xf numFmtId="167" fontId="0" fillId="18" borderId="4" xfId="0" applyNumberFormat="1" applyFill="1" applyBorder="1" applyAlignment="1">
      <alignment horizontal="center"/>
    </xf>
    <xf numFmtId="10" fontId="0" fillId="27" borderId="18" xfId="0" applyNumberFormat="1" applyFill="1" applyBorder="1" applyAlignment="1">
      <alignment horizontal="center"/>
    </xf>
    <xf numFmtId="1" fontId="5" fillId="29" borderId="11" xfId="0" applyNumberFormat="1" applyFont="1" applyFill="1" applyBorder="1" applyAlignment="1">
      <alignment horizontal="center"/>
    </xf>
    <xf numFmtId="167" fontId="5" fillId="18" borderId="6" xfId="0" applyNumberFormat="1" applyFont="1" applyFill="1" applyBorder="1" applyAlignment="1">
      <alignment horizontal="center"/>
    </xf>
    <xf numFmtId="10" fontId="5" fillId="27" borderId="21" xfId="0" applyNumberFormat="1" applyFont="1" applyFill="1" applyBorder="1" applyAlignment="1">
      <alignment horizontal="center"/>
    </xf>
    <xf numFmtId="1" fontId="5" fillId="29" borderId="4" xfId="0" applyNumberFormat="1" applyFont="1" applyFill="1" applyBorder="1" applyAlignment="1">
      <alignment horizontal="center"/>
    </xf>
    <xf numFmtId="167" fontId="0" fillId="18" borderId="6" xfId="0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6" fontId="5" fillId="3" borderId="3" xfId="0" applyNumberFormat="1" applyFont="1" applyFill="1" applyBorder="1"/>
    <xf numFmtId="2" fontId="5" fillId="3" borderId="3" xfId="0" applyNumberFormat="1" applyFont="1" applyFill="1" applyBorder="1" applyAlignment="1">
      <alignment horizontal="center"/>
    </xf>
    <xf numFmtId="10" fontId="5" fillId="3" borderId="24" xfId="0" applyNumberFormat="1" applyFont="1" applyFill="1" applyBorder="1" applyAlignment="1">
      <alignment horizontal="center"/>
    </xf>
    <xf numFmtId="1" fontId="5" fillId="3" borderId="11" xfId="0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10" fontId="5" fillId="3" borderId="21" xfId="0" applyNumberFormat="1" applyFont="1" applyFill="1" applyBorder="1" applyAlignment="1">
      <alignment horizontal="center"/>
    </xf>
    <xf numFmtId="1" fontId="5" fillId="27" borderId="42" xfId="0" applyNumberFormat="1" applyFont="1" applyFill="1" applyBorder="1" applyAlignment="1">
      <alignment horizontal="center"/>
    </xf>
    <xf numFmtId="1" fontId="5" fillId="3" borderId="44" xfId="0" applyNumberFormat="1" applyFont="1" applyFill="1" applyBorder="1" applyAlignment="1">
      <alignment horizontal="center"/>
    </xf>
    <xf numFmtId="2" fontId="5" fillId="3" borderId="44" xfId="0" applyNumberFormat="1" applyFont="1" applyFill="1" applyBorder="1" applyAlignment="1">
      <alignment horizontal="center"/>
    </xf>
    <xf numFmtId="10" fontId="5" fillId="3" borderId="57" xfId="0" applyNumberFormat="1" applyFont="1" applyFill="1" applyBorder="1" applyAlignment="1">
      <alignment horizontal="center"/>
    </xf>
    <xf numFmtId="0" fontId="5" fillId="5" borderId="58" xfId="0" applyFont="1" applyFill="1" applyBorder="1" applyAlignment="1">
      <alignment horizontal="center"/>
    </xf>
    <xf numFmtId="1" fontId="5" fillId="5" borderId="59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166" fontId="0" fillId="2" borderId="52" xfId="0" applyNumberFormat="1" applyFill="1" applyBorder="1" applyAlignment="1">
      <alignment horizontal="center"/>
    </xf>
    <xf numFmtId="166" fontId="0" fillId="2" borderId="11" xfId="0" applyNumberFormat="1" applyFill="1" applyBorder="1" applyAlignment="1">
      <alignment horizontal="center"/>
    </xf>
    <xf numFmtId="166" fontId="0" fillId="2" borderId="12" xfId="0" applyNumberFormat="1" applyFill="1" applyBorder="1" applyAlignment="1">
      <alignment horizontal="center"/>
    </xf>
    <xf numFmtId="166" fontId="0" fillId="5" borderId="47" xfId="0" applyNumberFormat="1" applyFill="1" applyBorder="1"/>
    <xf numFmtId="1" fontId="11" fillId="27" borderId="11" xfId="0" applyNumberFormat="1" applyFont="1" applyFill="1" applyBorder="1" applyAlignment="1">
      <alignment horizontal="center"/>
    </xf>
    <xf numFmtId="1" fontId="11" fillId="27" borderId="6" xfId="0" applyNumberFormat="1" applyFont="1" applyFill="1" applyBorder="1" applyAlignment="1">
      <alignment horizontal="center"/>
    </xf>
    <xf numFmtId="1" fontId="12" fillId="27" borderId="6" xfId="0" applyNumberFormat="1" applyFont="1" applyFill="1" applyBorder="1" applyAlignment="1">
      <alignment horizontal="center"/>
    </xf>
    <xf numFmtId="1" fontId="11" fillId="27" borderId="4" xfId="0" applyNumberFormat="1" applyFont="1" applyFill="1" applyBorder="1" applyAlignment="1">
      <alignment horizontal="center"/>
    </xf>
    <xf numFmtId="1" fontId="5" fillId="27" borderId="6" xfId="0" applyNumberFormat="1" applyFont="1" applyFill="1" applyBorder="1" applyAlignment="1">
      <alignment horizontal="center"/>
    </xf>
    <xf numFmtId="1" fontId="11" fillId="27" borderId="44" xfId="0" applyNumberFormat="1" applyFont="1" applyFill="1" applyBorder="1" applyAlignment="1">
      <alignment horizontal="center"/>
    </xf>
    <xf numFmtId="6" fontId="12" fillId="5" borderId="40" xfId="0" applyNumberFormat="1" applyFont="1" applyFill="1" applyBorder="1"/>
    <xf numFmtId="166" fontId="0" fillId="2" borderId="18" xfId="0" applyNumberFormat="1" applyFill="1" applyBorder="1" applyAlignment="1">
      <alignment horizontal="center"/>
    </xf>
    <xf numFmtId="6" fontId="6" fillId="24" borderId="3" xfId="0" applyNumberFormat="1" applyFont="1" applyFill="1" applyBorder="1"/>
    <xf numFmtId="164" fontId="1" fillId="27" borderId="3" xfId="0" applyNumberFormat="1" applyFont="1" applyFill="1" applyBorder="1" applyAlignment="1">
      <alignment horizontal="right"/>
    </xf>
    <xf numFmtId="3" fontId="1" fillId="27" borderId="1" xfId="0" applyNumberFormat="1" applyFont="1" applyFill="1" applyBorder="1" applyAlignment="1">
      <alignment horizontal="center"/>
    </xf>
    <xf numFmtId="10" fontId="1" fillId="15" borderId="24" xfId="0" applyNumberFormat="1" applyFont="1" applyFill="1" applyBorder="1"/>
    <xf numFmtId="0" fontId="6" fillId="18" borderId="2" xfId="0" applyFont="1" applyFill="1" applyBorder="1" applyAlignment="1">
      <alignment horizontal="left"/>
    </xf>
    <xf numFmtId="164" fontId="6" fillId="18" borderId="3" xfId="0" applyNumberFormat="1" applyFont="1" applyFill="1" applyBorder="1" applyAlignment="1">
      <alignment horizontal="center"/>
    </xf>
    <xf numFmtId="3" fontId="1" fillId="18" borderId="3" xfId="0" applyNumberFormat="1" applyFont="1" applyFill="1" applyBorder="1" applyAlignment="1">
      <alignment horizontal="center"/>
    </xf>
    <xf numFmtId="169" fontId="1" fillId="18" borderId="1" xfId="0" applyNumberFormat="1" applyFont="1" applyFill="1" applyBorder="1"/>
    <xf numFmtId="0" fontId="3" fillId="24" borderId="22" xfId="0" applyFont="1" applyFill="1" applyBorder="1" applyAlignment="1">
      <alignment horizontal="left"/>
    </xf>
    <xf numFmtId="0" fontId="0" fillId="0" borderId="0" xfId="0" applyBorder="1"/>
    <xf numFmtId="0" fontId="0" fillId="0" borderId="39" xfId="0" applyBorder="1"/>
    <xf numFmtId="0" fontId="2" fillId="23" borderId="58" xfId="0" applyFont="1" applyFill="1" applyBorder="1" applyAlignment="1">
      <alignment horizontal="left"/>
    </xf>
    <xf numFmtId="6" fontId="2" fillId="23" borderId="14" xfId="0" applyNumberFormat="1" applyFont="1" applyFill="1" applyBorder="1"/>
    <xf numFmtId="164" fontId="2" fillId="23" borderId="14" xfId="0" applyNumberFormat="1" applyFont="1" applyFill="1" applyBorder="1"/>
    <xf numFmtId="3" fontId="2" fillId="23" borderId="14" xfId="0" applyNumberFormat="1" applyFont="1" applyFill="1" applyBorder="1" applyAlignment="1">
      <alignment horizontal="center"/>
    </xf>
    <xf numFmtId="10" fontId="2" fillId="23" borderId="60" xfId="0" applyNumberFormat="1" applyFont="1" applyFill="1" applyBorder="1"/>
    <xf numFmtId="0" fontId="6" fillId="30" borderId="22" xfId="0" applyFont="1" applyFill="1" applyBorder="1" applyAlignment="1">
      <alignment horizontal="left"/>
    </xf>
    <xf numFmtId="6" fontId="6" fillId="30" borderId="1" xfId="0" applyNumberFormat="1" applyFont="1" applyFill="1" applyBorder="1"/>
    <xf numFmtId="164" fontId="6" fillId="30" borderId="1" xfId="0" applyNumberFormat="1" applyFont="1" applyFill="1" applyBorder="1"/>
    <xf numFmtId="3" fontId="6" fillId="30" borderId="1" xfId="0" applyNumberFormat="1" applyFont="1" applyFill="1" applyBorder="1" applyAlignment="1">
      <alignment horizontal="center"/>
    </xf>
    <xf numFmtId="10" fontId="6" fillId="30" borderId="24" xfId="0" applyNumberFormat="1" applyFont="1" applyFill="1" applyBorder="1"/>
    <xf numFmtId="0" fontId="3" fillId="31" borderId="10" xfId="0" applyFont="1" applyFill="1" applyBorder="1" applyAlignment="1">
      <alignment horizontal="left"/>
    </xf>
    <xf numFmtId="6" fontId="3" fillId="31" borderId="7" xfId="0" applyNumberFormat="1" applyFont="1" applyFill="1" applyBorder="1"/>
    <xf numFmtId="164" fontId="3" fillId="31" borderId="1" xfId="0" applyNumberFormat="1" applyFont="1" applyFill="1" applyBorder="1"/>
    <xf numFmtId="3" fontId="3" fillId="31" borderId="7" xfId="0" applyNumberFormat="1" applyFont="1" applyFill="1" applyBorder="1" applyAlignment="1">
      <alignment horizontal="center"/>
    </xf>
    <xf numFmtId="10" fontId="3" fillId="31" borderId="20" xfId="0" applyNumberFormat="1" applyFont="1" applyFill="1" applyBorder="1"/>
    <xf numFmtId="0" fontId="4" fillId="31" borderId="10" xfId="0" applyFont="1" applyFill="1" applyBorder="1" applyAlignment="1">
      <alignment horizontal="left"/>
    </xf>
    <xf numFmtId="6" fontId="4" fillId="31" borderId="5" xfId="0" applyNumberFormat="1" applyFont="1" applyFill="1" applyBorder="1"/>
    <xf numFmtId="164" fontId="3" fillId="31" borderId="3" xfId="0" applyNumberFormat="1" applyFont="1" applyFill="1" applyBorder="1" applyAlignment="1">
      <alignment horizontal="right"/>
    </xf>
    <xf numFmtId="0" fontId="4" fillId="31" borderId="25" xfId="0" applyFont="1" applyFill="1" applyBorder="1" applyAlignment="1">
      <alignment horizontal="left"/>
    </xf>
    <xf numFmtId="6" fontId="4" fillId="31" borderId="43" xfId="0" applyNumberFormat="1" applyFont="1" applyFill="1" applyBorder="1"/>
    <xf numFmtId="164" fontId="3" fillId="31" borderId="43" xfId="0" applyNumberFormat="1" applyFont="1" applyFill="1" applyBorder="1" applyAlignment="1">
      <alignment horizontal="right"/>
    </xf>
    <xf numFmtId="3" fontId="3" fillId="31" borderId="29" xfId="0" applyNumberFormat="1" applyFont="1" applyFill="1" applyBorder="1" applyAlignment="1">
      <alignment horizontal="center"/>
    </xf>
    <xf numFmtId="10" fontId="3" fillId="31" borderId="40" xfId="0" applyNumberFormat="1" applyFont="1" applyFill="1" applyBorder="1"/>
    <xf numFmtId="0" fontId="2" fillId="11" borderId="54" xfId="0" applyFont="1" applyFill="1" applyBorder="1"/>
    <xf numFmtId="14" fontId="5" fillId="28" borderId="11" xfId="0" applyNumberFormat="1" applyFont="1" applyFill="1" applyBorder="1" applyAlignment="1">
      <alignment horizontal="center"/>
    </xf>
    <xf numFmtId="14" fontId="5" fillId="28" borderId="4" xfId="0" applyNumberFormat="1" applyFont="1" applyFill="1" applyBorder="1" applyAlignment="1">
      <alignment horizontal="center"/>
    </xf>
    <xf numFmtId="14" fontId="5" fillId="29" borderId="11" xfId="0" applyNumberFormat="1" applyFont="1" applyFill="1" applyBorder="1" applyAlignment="1">
      <alignment horizontal="center"/>
    </xf>
    <xf numFmtId="14" fontId="5" fillId="29" borderId="4" xfId="0" applyNumberFormat="1" applyFont="1" applyFill="1" applyBorder="1" applyAlignment="1">
      <alignment horizontal="center"/>
    </xf>
    <xf numFmtId="14" fontId="5" fillId="3" borderId="3" xfId="0" applyNumberFormat="1" applyFont="1" applyFill="1" applyBorder="1" applyAlignment="1">
      <alignment horizontal="center"/>
    </xf>
    <xf numFmtId="0" fontId="7" fillId="11" borderId="45" xfId="0" applyFont="1" applyFill="1" applyBorder="1"/>
    <xf numFmtId="0" fontId="7" fillId="11" borderId="3" xfId="0" applyFont="1" applyFill="1" applyBorder="1"/>
    <xf numFmtId="0" fontId="7" fillId="11" borderId="3" xfId="0" applyFont="1" applyFill="1" applyBorder="1" applyAlignment="1">
      <alignment horizontal="center"/>
    </xf>
    <xf numFmtId="0" fontId="7" fillId="11" borderId="24" xfId="0" applyFont="1" applyFill="1" applyBorder="1" applyAlignment="1">
      <alignment horizontal="center"/>
    </xf>
    <xf numFmtId="0" fontId="0" fillId="33" borderId="22" xfId="0" applyFont="1" applyFill="1" applyBorder="1"/>
    <xf numFmtId="0" fontId="0" fillId="33" borderId="47" xfId="0" applyFill="1" applyBorder="1"/>
    <xf numFmtId="1" fontId="5" fillId="3" borderId="24" xfId="0" applyNumberFormat="1" applyFont="1" applyFill="1" applyBorder="1" applyAlignment="1">
      <alignment horizontal="center"/>
    </xf>
    <xf numFmtId="0" fontId="0" fillId="33" borderId="22" xfId="0" applyFill="1" applyBorder="1"/>
    <xf numFmtId="9" fontId="5" fillId="3" borderId="3" xfId="0" applyNumberFormat="1" applyFont="1" applyFill="1" applyBorder="1" applyAlignment="1">
      <alignment horizontal="center"/>
    </xf>
    <xf numFmtId="9" fontId="5" fillId="3" borderId="24" xfId="0" applyNumberFormat="1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164" fontId="1" fillId="3" borderId="8" xfId="0" applyNumberFormat="1" applyFont="1" applyFill="1" applyBorder="1"/>
    <xf numFmtId="0" fontId="2" fillId="11" borderId="22" xfId="0" applyFont="1" applyFill="1" applyBorder="1" applyAlignment="1">
      <alignment horizontal="center"/>
    </xf>
    <xf numFmtId="0" fontId="3" fillId="34" borderId="10" xfId="0" applyFont="1" applyFill="1" applyBorder="1" applyAlignment="1">
      <alignment horizontal="left"/>
    </xf>
    <xf numFmtId="10" fontId="3" fillId="5" borderId="20" xfId="0" applyNumberFormat="1" applyFont="1" applyFill="1" applyBorder="1"/>
    <xf numFmtId="0" fontId="3" fillId="13" borderId="22" xfId="0" applyFont="1" applyFill="1" applyBorder="1" applyAlignment="1">
      <alignment horizontal="center"/>
    </xf>
    <xf numFmtId="0" fontId="4" fillId="24" borderId="22" xfId="0" applyFont="1" applyFill="1" applyBorder="1" applyAlignment="1">
      <alignment horizontal="left"/>
    </xf>
    <xf numFmtId="0" fontId="2" fillId="11" borderId="22" xfId="0" applyFont="1" applyFill="1" applyBorder="1"/>
    <xf numFmtId="0" fontId="3" fillId="11" borderId="45" xfId="0" applyFont="1" applyFill="1" applyBorder="1"/>
    <xf numFmtId="0" fontId="3" fillId="11" borderId="54" xfId="0" applyFont="1" applyFill="1" applyBorder="1"/>
    <xf numFmtId="0" fontId="0" fillId="0" borderId="31" xfId="0" applyBorder="1"/>
    <xf numFmtId="0" fontId="2" fillId="23" borderId="58" xfId="0" applyFont="1" applyFill="1" applyBorder="1" applyAlignment="1">
      <alignment horizontal="center"/>
    </xf>
    <xf numFmtId="0" fontId="6" fillId="30" borderId="22" xfId="0" applyFont="1" applyFill="1" applyBorder="1" applyAlignment="1">
      <alignment horizontal="center"/>
    </xf>
    <xf numFmtId="0" fontId="3" fillId="31" borderId="19" xfId="0" applyFont="1" applyFill="1" applyBorder="1" applyAlignment="1">
      <alignment horizontal="center"/>
    </xf>
    <xf numFmtId="3" fontId="3" fillId="31" borderId="3" xfId="0" applyNumberFormat="1" applyFont="1" applyFill="1" applyBorder="1" applyAlignment="1">
      <alignment horizontal="center"/>
    </xf>
    <xf numFmtId="10" fontId="3" fillId="31" borderId="24" xfId="0" applyNumberFormat="1" applyFont="1" applyFill="1" applyBorder="1"/>
    <xf numFmtId="0" fontId="3" fillId="31" borderId="61" xfId="0" applyFont="1" applyFill="1" applyBorder="1" applyAlignment="1">
      <alignment horizontal="center"/>
    </xf>
    <xf numFmtId="170" fontId="3" fillId="9" borderId="21" xfId="0" applyNumberFormat="1" applyFont="1" applyFill="1" applyBorder="1"/>
    <xf numFmtId="0" fontId="3" fillId="32" borderId="0" xfId="0" applyFont="1" applyFill="1" applyBorder="1"/>
    <xf numFmtId="6" fontId="3" fillId="32" borderId="6" xfId="0" applyNumberFormat="1" applyFont="1" applyFill="1" applyBorder="1"/>
    <xf numFmtId="170" fontId="3" fillId="32" borderId="21" xfId="0" applyNumberFormat="1" applyFont="1" applyFill="1" applyBorder="1"/>
    <xf numFmtId="6" fontId="1" fillId="3" borderId="4" xfId="0" applyNumberFormat="1" applyFont="1" applyFill="1" applyBorder="1"/>
    <xf numFmtId="10" fontId="3" fillId="10" borderId="18" xfId="0" applyNumberFormat="1" applyFont="1" applyFill="1" applyBorder="1"/>
    <xf numFmtId="170" fontId="0" fillId="0" borderId="0" xfId="0" applyNumberFormat="1"/>
    <xf numFmtId="0" fontId="3" fillId="35" borderId="22" xfId="0" applyFont="1" applyFill="1" applyBorder="1" applyAlignment="1">
      <alignment horizontal="center"/>
    </xf>
    <xf numFmtId="0" fontId="2" fillId="35" borderId="2" xfId="0" applyFont="1" applyFill="1" applyBorder="1" applyAlignment="1">
      <alignment horizontal="left"/>
    </xf>
    <xf numFmtId="165" fontId="2" fillId="35" borderId="3" xfId="0" applyNumberFormat="1" applyFont="1" applyFill="1" applyBorder="1"/>
    <xf numFmtId="164" fontId="2" fillId="35" borderId="3" xfId="0" applyNumberFormat="1" applyFont="1" applyFill="1" applyBorder="1" applyAlignment="1">
      <alignment horizontal="center"/>
    </xf>
    <xf numFmtId="3" fontId="2" fillId="35" borderId="1" xfId="0" applyNumberFormat="1" applyFont="1" applyFill="1" applyBorder="1" applyAlignment="1">
      <alignment horizontal="center"/>
    </xf>
    <xf numFmtId="0" fontId="3" fillId="36" borderId="22" xfId="0" applyFont="1" applyFill="1" applyBorder="1" applyAlignment="1">
      <alignment horizontal="center"/>
    </xf>
    <xf numFmtId="0" fontId="2" fillId="36" borderId="2" xfId="0" applyFont="1" applyFill="1" applyBorder="1" applyAlignment="1">
      <alignment horizontal="left"/>
    </xf>
    <xf numFmtId="165" fontId="2" fillId="36" borderId="3" xfId="0" applyNumberFormat="1" applyFont="1" applyFill="1" applyBorder="1"/>
    <xf numFmtId="164" fontId="2" fillId="36" borderId="3" xfId="0" applyNumberFormat="1" applyFont="1" applyFill="1" applyBorder="1" applyAlignment="1">
      <alignment horizontal="center"/>
    </xf>
    <xf numFmtId="3" fontId="2" fillId="36" borderId="1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3" fillId="2" borderId="47" xfId="0" applyFont="1" applyFill="1" applyBorder="1"/>
    <xf numFmtId="6" fontId="1" fillId="2" borderId="3" xfId="0" applyNumberFormat="1" applyFont="1" applyFill="1" applyBorder="1"/>
    <xf numFmtId="3" fontId="1" fillId="2" borderId="3" xfId="0" applyNumberFormat="1" applyFont="1" applyFill="1" applyBorder="1" applyAlignment="1">
      <alignment horizontal="center"/>
    </xf>
    <xf numFmtId="10" fontId="1" fillId="2" borderId="24" xfId="0" applyNumberFormat="1" applyFont="1" applyFill="1" applyBorder="1"/>
    <xf numFmtId="0" fontId="1" fillId="37" borderId="22" xfId="0" applyFont="1" applyFill="1" applyBorder="1"/>
    <xf numFmtId="0" fontId="3" fillId="37" borderId="47" xfId="0" applyFont="1" applyFill="1" applyBorder="1"/>
    <xf numFmtId="6" fontId="1" fillId="37" borderId="3" xfId="0" applyNumberFormat="1" applyFont="1" applyFill="1" applyBorder="1"/>
    <xf numFmtId="3" fontId="1" fillId="37" borderId="3" xfId="0" applyNumberFormat="1" applyFont="1" applyFill="1" applyBorder="1" applyAlignment="1">
      <alignment horizontal="center"/>
    </xf>
    <xf numFmtId="10" fontId="1" fillId="37" borderId="24" xfId="0" applyNumberFormat="1" applyFont="1" applyFill="1" applyBorder="1"/>
    <xf numFmtId="0" fontId="3" fillId="38" borderId="22" xfId="0" applyFont="1" applyFill="1" applyBorder="1" applyAlignment="1">
      <alignment horizontal="left"/>
    </xf>
    <xf numFmtId="0" fontId="4" fillId="38" borderId="22" xfId="0" applyFont="1" applyFill="1" applyBorder="1" applyAlignment="1">
      <alignment horizontal="left"/>
    </xf>
    <xf numFmtId="6" fontId="6" fillId="38" borderId="3" xfId="0" applyNumberFormat="1" applyFont="1" applyFill="1" applyBorder="1"/>
    <xf numFmtId="0" fontId="4" fillId="18" borderId="22" xfId="0" applyFont="1" applyFill="1" applyBorder="1" applyAlignment="1">
      <alignment horizontal="center"/>
    </xf>
    <xf numFmtId="0" fontId="0" fillId="18" borderId="53" xfId="0" applyFill="1" applyBorder="1"/>
    <xf numFmtId="0" fontId="5" fillId="18" borderId="0" xfId="0" applyFont="1" applyFill="1" applyBorder="1" applyAlignment="1">
      <alignment horizontal="center"/>
    </xf>
    <xf numFmtId="0" fontId="0" fillId="18" borderId="0" xfId="0" applyFill="1" applyBorder="1"/>
    <xf numFmtId="0" fontId="0" fillId="18" borderId="39" xfId="0" applyFill="1" applyBorder="1"/>
    <xf numFmtId="170" fontId="3" fillId="5" borderId="21" xfId="0" applyNumberFormat="1" applyFont="1" applyFill="1" applyBorder="1"/>
    <xf numFmtId="6" fontId="1" fillId="3" borderId="6" xfId="0" applyNumberFormat="1" applyFont="1" applyFill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27457B"/>
      <color rgb="FFC7A1E3"/>
      <color rgb="FFD5B8EA"/>
      <color rgb="FF9E5ECE"/>
      <color rgb="FF893BC3"/>
      <color rgb="FF305496"/>
      <color rgb="FFBEE395"/>
      <color rgb="FFC39BE1"/>
      <color rgb="FFD9E1F2"/>
      <color rgb="FFFF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Диаграмма</a:t>
            </a:r>
          </a:p>
          <a:p>
            <a:pPr>
              <a:defRPr/>
            </a:pPr>
            <a:r>
              <a:rPr lang="ru-RU" sz="1100"/>
              <a:t>системного расширения развития "реального проекта"</a:t>
            </a:r>
          </a:p>
          <a:p>
            <a:pPr>
              <a:defRPr/>
            </a:pPr>
            <a:r>
              <a:rPr lang="ru-RU" sz="1100"/>
              <a:t>за</a:t>
            </a:r>
            <a:r>
              <a:rPr lang="ru-RU" sz="1100" baseline="0"/>
              <a:t> счет "внутренних ресурсов"</a:t>
            </a:r>
            <a:r>
              <a:rPr lang="ru-RU" sz="1100"/>
              <a:t> и "затухания" значения денег</a:t>
            </a:r>
            <a:endParaRPr lang="de-DE" sz="1100"/>
          </a:p>
        </c:rich>
      </c:tx>
      <c:layout>
        <c:manualLayout>
          <c:xMode val="edge"/>
          <c:yMode val="edge"/>
          <c:x val="0.10192789059262329"/>
          <c:y val="1.8842530282637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9115632429602805"/>
          <c:y val="0.21963883384025182"/>
          <c:w val="0.78668301088402726"/>
          <c:h val="0.67755767743029427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Tabelle1!$M$7:$M$26</c:f>
              <c:numCache>
                <c:formatCode>#,##0" ISKR"</c:formatCode>
                <c:ptCount val="20"/>
                <c:pt idx="0">
                  <c:v>60432.908010694555</c:v>
                </c:pt>
                <c:pt idx="1">
                  <c:v>79062.601457600424</c:v>
                </c:pt>
                <c:pt idx="2">
                  <c:v>103116.03840898682</c:v>
                </c:pt>
                <c:pt idx="3">
                  <c:v>134021.96588731062</c:v>
                </c:pt>
                <c:pt idx="4">
                  <c:v>173510.58083625045</c:v>
                </c:pt>
                <c:pt idx="5">
                  <c:v>223635.85974450066</c:v>
                </c:pt>
                <c:pt idx="6">
                  <c:v>286771.15348189382</c:v>
                </c:pt>
                <c:pt idx="7">
                  <c:v>365554.43740549113</c:v>
                </c:pt>
                <c:pt idx="8">
                  <c:v>462745.49814425292</c:v>
                </c:pt>
                <c:pt idx="9">
                  <c:v>580935.90676118375</c:v>
                </c:pt>
                <c:pt idx="10">
                  <c:v>722020.34126032877</c:v>
                </c:pt>
                <c:pt idx="11">
                  <c:v>886289.51943066833</c:v>
                </c:pt>
                <c:pt idx="12">
                  <c:v>1070933.1693120582</c:v>
                </c:pt>
                <c:pt idx="13">
                  <c:v>1267635.1800020286</c:v>
                </c:pt>
                <c:pt idx="14">
                  <c:v>1458786.5166690019</c:v>
                </c:pt>
                <c:pt idx="15">
                  <c:v>1611611.7707962322</c:v>
                </c:pt>
                <c:pt idx="16">
                  <c:v>1669169.3340389568</c:v>
                </c:pt>
                <c:pt idx="17">
                  <c:v>1536695.5773692015</c:v>
                </c:pt>
                <c:pt idx="18">
                  <c:v>1061051.7081835021</c:v>
                </c:pt>
                <c:pt idx="19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B-4B61-9324-92E11282E505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Tabelle1!$N$7:$N$26</c:f>
              <c:numCache>
                <c:formatCode>"€"#,##0_);[Red]\("€"#,##0\)</c:formatCode>
                <c:ptCount val="20"/>
                <c:pt idx="0">
                  <c:v>76719.57671957674</c:v>
                </c:pt>
                <c:pt idx="1">
                  <c:v>105946.08213655838</c:v>
                </c:pt>
                <c:pt idx="2">
                  <c:v>146306.49437905685</c:v>
                </c:pt>
                <c:pt idx="3">
                  <c:v>202042.30176155473</c:v>
                </c:pt>
                <c:pt idx="4">
                  <c:v>279010.79767071852</c:v>
                </c:pt>
                <c:pt idx="5">
                  <c:v>385300.62535480189</c:v>
                </c:pt>
                <c:pt idx="6">
                  <c:v>532081.81596615515</c:v>
                </c:pt>
                <c:pt idx="7">
                  <c:v>734779.65061992873</c:v>
                </c:pt>
                <c:pt idx="8">
                  <c:v>1014695.7079989496</c:v>
                </c:pt>
                <c:pt idx="9">
                  <c:v>1401246.4539033119</c:v>
                </c:pt>
                <c:pt idx="10">
                  <c:v>1935054.6268188599</c:v>
                </c:pt>
                <c:pt idx="11">
                  <c:v>2672218.2941784263</c:v>
                </c:pt>
                <c:pt idx="12">
                  <c:v>3690206.2157702092</c:v>
                </c:pt>
                <c:pt idx="13">
                  <c:v>5095999.0598731469</c:v>
                </c:pt>
                <c:pt idx="14">
                  <c:v>7037332.0350629184</c:v>
                </c:pt>
                <c:pt idx="15">
                  <c:v>9718220.4293726049</c:v>
                </c:pt>
                <c:pt idx="16">
                  <c:v>13420399.640562173</c:v>
                </c:pt>
                <c:pt idx="17">
                  <c:v>18532932.836966816</c:v>
                </c:pt>
                <c:pt idx="18">
                  <c:v>25593097.727239896</c:v>
                </c:pt>
                <c:pt idx="19">
                  <c:v>35342849.242378913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B-4B61-9324-92E11282E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00160"/>
        <c:axId val="260675120"/>
      </c:lineChart>
      <c:catAx>
        <c:axId val="932001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0675120"/>
        <c:crosses val="autoZero"/>
        <c:auto val="1"/>
        <c:lblAlgn val="ctr"/>
        <c:lblOffset val="100"/>
        <c:noMultiLvlLbl val="0"/>
      </c:catAx>
      <c:valAx>
        <c:axId val="26067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&quot; ISKR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20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Диаграмма</a:t>
            </a:r>
          </a:p>
          <a:p>
            <a:pPr>
              <a:defRPr/>
            </a:pPr>
            <a:r>
              <a:rPr lang="ru-RU" sz="1100"/>
              <a:t>системного расширения развития "реального проекта"</a:t>
            </a:r>
          </a:p>
          <a:p>
            <a:pPr>
              <a:defRPr/>
            </a:pPr>
            <a:r>
              <a:rPr lang="ru-RU" sz="1100"/>
              <a:t>за</a:t>
            </a:r>
            <a:r>
              <a:rPr lang="ru-RU" sz="1100" baseline="0"/>
              <a:t> счет "внутренних ресурсов"</a:t>
            </a:r>
            <a:r>
              <a:rPr lang="ru-RU" sz="1100"/>
              <a:t> и "затухания" значения денег</a:t>
            </a:r>
            <a:endParaRPr lang="de-DE" sz="1100"/>
          </a:p>
        </c:rich>
      </c:tx>
      <c:layout>
        <c:manualLayout>
          <c:xMode val="edge"/>
          <c:yMode val="edge"/>
          <c:x val="0.10192789059262329"/>
          <c:y val="1.8842530282637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9115632429602805"/>
          <c:y val="0.21963883384025182"/>
          <c:w val="0.78668301088402726"/>
          <c:h val="0.67755767743029427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[1]Tabelle1!$M$7:$M$26</c:f>
              <c:numCache>
                <c:formatCode>General</c:formatCode>
                <c:ptCount val="20"/>
                <c:pt idx="0">
                  <c:v>5438961.7209625095</c:v>
                </c:pt>
                <c:pt idx="1">
                  <c:v>7115634.1311840378</c:v>
                </c:pt>
                <c:pt idx="2">
                  <c:v>9280443.4568088166</c:v>
                </c:pt>
                <c:pt idx="3">
                  <c:v>12061976.929857962</c:v>
                </c:pt>
                <c:pt idx="4">
                  <c:v>15615952.275262548</c:v>
                </c:pt>
                <c:pt idx="5">
                  <c:v>20127227.377005067</c:v>
                </c:pt>
                <c:pt idx="6">
                  <c:v>25809403.813370455</c:v>
                </c:pt>
                <c:pt idx="7">
                  <c:v>32899899.36649422</c:v>
                </c:pt>
                <c:pt idx="8">
                  <c:v>41647094.832982779</c:v>
                </c:pt>
                <c:pt idx="9">
                  <c:v>52284231.608506545</c:v>
                </c:pt>
                <c:pt idx="10">
                  <c:v>64981830.713429593</c:v>
                </c:pt>
                <c:pt idx="11">
                  <c:v>79766056.748760164</c:v>
                </c:pt>
                <c:pt idx="12">
                  <c:v>96383985.23808524</c:v>
                </c:pt>
                <c:pt idx="13">
                  <c:v>114087166.20018262</c:v>
                </c:pt>
                <c:pt idx="14">
                  <c:v>131290786.50021021</c:v>
                </c:pt>
                <c:pt idx="15">
                  <c:v>145045059.37166095</c:v>
                </c:pt>
                <c:pt idx="16">
                  <c:v>150225240.06350616</c:v>
                </c:pt>
                <c:pt idx="17">
                  <c:v>138302601.96322817</c:v>
                </c:pt>
                <c:pt idx="18">
                  <c:v>95494653.736515209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D-4408-B8D3-4628E8F2BD4E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[1]Tabelle1!$N$7:$N$26</c:f>
              <c:numCache>
                <c:formatCode>General</c:formatCode>
                <c:ptCount val="20"/>
                <c:pt idx="0">
                  <c:v>6904761.9047619067</c:v>
                </c:pt>
                <c:pt idx="1">
                  <c:v>9535147.3922902551</c:v>
                </c:pt>
                <c:pt idx="2">
                  <c:v>13167584.49411512</c:v>
                </c:pt>
                <c:pt idx="3">
                  <c:v>18183807.158539932</c:v>
                </c:pt>
                <c:pt idx="4">
                  <c:v>25110971.790364679</c:v>
                </c:pt>
                <c:pt idx="5">
                  <c:v>34677056.281932183</c:v>
                </c:pt>
                <c:pt idx="6">
                  <c:v>47887363.436953984</c:v>
                </c:pt>
                <c:pt idx="7">
                  <c:v>66130168.555793621</c:v>
                </c:pt>
                <c:pt idx="8">
                  <c:v>91322613.719905496</c:v>
                </c:pt>
                <c:pt idx="9">
                  <c:v>126112180.85129809</c:v>
                </c:pt>
                <c:pt idx="10">
                  <c:v>174154916.41369742</c:v>
                </c:pt>
                <c:pt idx="11">
                  <c:v>240499646.47605842</c:v>
                </c:pt>
                <c:pt idx="12">
                  <c:v>332118559.41931885</c:v>
                </c:pt>
                <c:pt idx="13">
                  <c:v>458639915.38858336</c:v>
                </c:pt>
                <c:pt idx="14">
                  <c:v>633359883.15566289</c:v>
                </c:pt>
                <c:pt idx="15">
                  <c:v>874639838.64353478</c:v>
                </c:pt>
                <c:pt idx="16">
                  <c:v>1207835967.6505959</c:v>
                </c:pt>
                <c:pt idx="17">
                  <c:v>1667963955.3270137</c:v>
                </c:pt>
                <c:pt idx="18">
                  <c:v>2303378795.451591</c:v>
                </c:pt>
                <c:pt idx="19">
                  <c:v>3180856431.8141026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D-4408-B8D3-4628E8F2B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00160"/>
        <c:axId val="260675120"/>
      </c:lineChart>
      <c:catAx>
        <c:axId val="9320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0675120"/>
        <c:crosses val="autoZero"/>
        <c:auto val="1"/>
        <c:lblAlgn val="ctr"/>
        <c:lblOffset val="100"/>
        <c:noMultiLvlLbl val="0"/>
      </c:catAx>
      <c:valAx>
        <c:axId val="26067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20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Диаграмма</a:t>
            </a:r>
          </a:p>
          <a:p>
            <a:pPr>
              <a:defRPr/>
            </a:pPr>
            <a:r>
              <a:rPr lang="ru-RU" sz="1100"/>
              <a:t>системного повышения расчётной "покупательной способности"</a:t>
            </a:r>
            <a:r>
              <a:rPr lang="de-DE" sz="1100"/>
              <a:t> </a:t>
            </a:r>
            <a:r>
              <a:rPr lang="ru-RU" sz="1100"/>
              <a:t>"Внутренних</a:t>
            </a:r>
            <a:r>
              <a:rPr lang="ru-RU" sz="1100" baseline="0"/>
              <a:t> Информационных Носителей Обменщиков" </a:t>
            </a:r>
            <a:r>
              <a:rPr lang="de-DE" sz="1100" baseline="0"/>
              <a:t>ISKR</a:t>
            </a:r>
            <a:endParaRPr lang="de-DE" sz="1100"/>
          </a:p>
        </c:rich>
      </c:tx>
      <c:layout>
        <c:manualLayout>
          <c:xMode val="edge"/>
          <c:yMode val="edge"/>
          <c:x val="0.13324774670114795"/>
          <c:y val="3.2283464566929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9115632429602805"/>
          <c:y val="0.21963883384025182"/>
          <c:w val="0.78668301088402726"/>
          <c:h val="0.67755767743029427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FF9B9B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[1]Tabelle1!$O$7:$O$26</c:f>
              <c:numCache>
                <c:formatCode>General</c:formatCode>
                <c:ptCount val="20"/>
                <c:pt idx="0">
                  <c:v>1.2695000000000001</c:v>
                </c:pt>
                <c:pt idx="1">
                  <c:v>1.3400277777777778</c:v>
                </c:pt>
                <c:pt idx="2">
                  <c:v>1.4188529411764705</c:v>
                </c:pt>
                <c:pt idx="3">
                  <c:v>1.5075312499999998</c:v>
                </c:pt>
                <c:pt idx="4">
                  <c:v>1.608033333333333</c:v>
                </c:pt>
                <c:pt idx="5">
                  <c:v>1.7228928571428566</c:v>
                </c:pt>
                <c:pt idx="6">
                  <c:v>1.8554230769230762</c:v>
                </c:pt>
                <c:pt idx="7">
                  <c:v>2.0100416666666656</c:v>
                </c:pt>
                <c:pt idx="8">
                  <c:v>2.1927727272727258</c:v>
                </c:pt>
                <c:pt idx="9">
                  <c:v>2.4120499999999976</c:v>
                </c:pt>
                <c:pt idx="10">
                  <c:v>2.6800555555555525</c:v>
                </c:pt>
                <c:pt idx="11">
                  <c:v>3.0150624999999964</c:v>
                </c:pt>
                <c:pt idx="12">
                  <c:v>3.4457857142857096</c:v>
                </c:pt>
                <c:pt idx="13">
                  <c:v>4.0200833333333268</c:v>
                </c:pt>
                <c:pt idx="14">
                  <c:v>4.8240999999999907</c:v>
                </c:pt>
                <c:pt idx="15">
                  <c:v>6.0301249999999849</c:v>
                </c:pt>
                <c:pt idx="16">
                  <c:v>8.0401666666666394</c:v>
                </c:pt>
                <c:pt idx="17">
                  <c:v>12.060249999999938</c:v>
                </c:pt>
                <c:pt idx="18">
                  <c:v>24.120499999999748</c:v>
                </c:pt>
                <c:pt idx="19">
                  <c:v>289.44600000012065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3-4CFB-A9F5-5069E95B4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00160"/>
        <c:axId val="260675120"/>
      </c:lineChart>
      <c:catAx>
        <c:axId val="9320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0675120"/>
        <c:crosses val="autoZero"/>
        <c:auto val="1"/>
        <c:lblAlgn val="ctr"/>
        <c:lblOffset val="100"/>
        <c:noMultiLvlLbl val="0"/>
      </c:catAx>
      <c:valAx>
        <c:axId val="26067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20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69850</xdr:colOff>
      <xdr:row>1</xdr:row>
      <xdr:rowOff>6350</xdr:rowOff>
    </xdr:from>
    <xdr:to>
      <xdr:col>22</xdr:col>
      <xdr:colOff>361949</xdr:colOff>
      <xdr:row>26</xdr:row>
      <xdr:rowOff>6350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5B22EC8-0E96-47D6-A3BC-968455B59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4692650</xdr:colOff>
      <xdr:row>71</xdr:row>
      <xdr:rowOff>19050</xdr:rowOff>
    </xdr:from>
    <xdr:to>
      <xdr:col>6</xdr:col>
      <xdr:colOff>1149350</xdr:colOff>
      <xdr:row>93</xdr:row>
      <xdr:rowOff>50800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BBE3B9E7-0D33-4A67-AB48-6126B2DFB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7350" y="13341350"/>
          <a:ext cx="4457700" cy="410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95250</xdr:colOff>
      <xdr:row>0</xdr:row>
      <xdr:rowOff>82550</xdr:rowOff>
    </xdr:from>
    <xdr:to>
      <xdr:col>22</xdr:col>
      <xdr:colOff>387349</xdr:colOff>
      <xdr:row>26</xdr:row>
      <xdr:rowOff>31750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9F4B9915-AFCA-462A-8223-E258BC2C6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527050</xdr:colOff>
      <xdr:row>1</xdr:row>
      <xdr:rowOff>0</xdr:rowOff>
    </xdr:from>
    <xdr:to>
      <xdr:col>30</xdr:col>
      <xdr:colOff>107949</xdr:colOff>
      <xdr:row>26</xdr:row>
      <xdr:rowOff>19050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C2AF6456-F727-4496-844E-A29664274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exander%20Schmidt/a/PRIVAT/ALEX/PARTEI/PHO/Date-Tabellen/S-G-Registrierung/Model/P-0103202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</sheetNames>
    <sheetDataSet>
      <sheetData sheetId="0">
        <row r="7">
          <cell r="M7">
            <v>5438961.7209625095</v>
          </cell>
          <cell r="N7">
            <v>6904761.9047619067</v>
          </cell>
          <cell r="O7">
            <v>1.2695000000000001</v>
          </cell>
        </row>
        <row r="8">
          <cell r="M8">
            <v>7115634.1311840378</v>
          </cell>
          <cell r="N8">
            <v>9535147.3922902551</v>
          </cell>
          <cell r="O8">
            <v>1.3400277777777778</v>
          </cell>
        </row>
        <row r="9">
          <cell r="M9">
            <v>9280443.4568088166</v>
          </cell>
          <cell r="N9">
            <v>13167584.49411512</v>
          </cell>
          <cell r="O9">
            <v>1.4188529411764705</v>
          </cell>
        </row>
        <row r="10">
          <cell r="M10">
            <v>12061976.929857962</v>
          </cell>
          <cell r="N10">
            <v>18183807.158539932</v>
          </cell>
          <cell r="O10">
            <v>1.5075312499999998</v>
          </cell>
        </row>
        <row r="11">
          <cell r="M11">
            <v>15615952.275262548</v>
          </cell>
          <cell r="N11">
            <v>25110971.790364679</v>
          </cell>
          <cell r="O11">
            <v>1.608033333333333</v>
          </cell>
        </row>
        <row r="12">
          <cell r="M12">
            <v>20127227.377005067</v>
          </cell>
          <cell r="N12">
            <v>34677056.281932183</v>
          </cell>
          <cell r="O12">
            <v>1.7228928571428566</v>
          </cell>
        </row>
        <row r="13">
          <cell r="M13">
            <v>25809403.813370455</v>
          </cell>
          <cell r="N13">
            <v>47887363.436953984</v>
          </cell>
          <cell r="O13">
            <v>1.8554230769230762</v>
          </cell>
        </row>
        <row r="14">
          <cell r="M14">
            <v>32899899.36649422</v>
          </cell>
          <cell r="N14">
            <v>66130168.555793621</v>
          </cell>
          <cell r="O14">
            <v>2.0100416666666656</v>
          </cell>
        </row>
        <row r="15">
          <cell r="M15">
            <v>41647094.832982779</v>
          </cell>
          <cell r="N15">
            <v>91322613.719905496</v>
          </cell>
          <cell r="O15">
            <v>2.1927727272727258</v>
          </cell>
        </row>
        <row r="16">
          <cell r="M16">
            <v>52284231.608506545</v>
          </cell>
          <cell r="N16">
            <v>126112180.85129809</v>
          </cell>
          <cell r="O16">
            <v>2.4120499999999976</v>
          </cell>
        </row>
        <row r="17">
          <cell r="M17">
            <v>64981830.713429593</v>
          </cell>
          <cell r="N17">
            <v>174154916.41369742</v>
          </cell>
          <cell r="O17">
            <v>2.6800555555555525</v>
          </cell>
        </row>
        <row r="18">
          <cell r="M18">
            <v>79766056.748760164</v>
          </cell>
          <cell r="N18">
            <v>240499646.47605842</v>
          </cell>
          <cell r="O18">
            <v>3.0150624999999964</v>
          </cell>
        </row>
        <row r="19">
          <cell r="M19">
            <v>96383985.23808524</v>
          </cell>
          <cell r="N19">
            <v>332118559.41931885</v>
          </cell>
          <cell r="O19">
            <v>3.4457857142857096</v>
          </cell>
        </row>
        <row r="20">
          <cell r="M20">
            <v>114087166.20018262</v>
          </cell>
          <cell r="N20">
            <v>458639915.38858336</v>
          </cell>
          <cell r="O20">
            <v>4.0200833333333268</v>
          </cell>
        </row>
        <row r="21">
          <cell r="M21">
            <v>131290786.50021021</v>
          </cell>
          <cell r="N21">
            <v>633359883.15566289</v>
          </cell>
          <cell r="O21">
            <v>4.8240999999999907</v>
          </cell>
        </row>
        <row r="22">
          <cell r="M22">
            <v>145045059.37166095</v>
          </cell>
          <cell r="N22">
            <v>874639838.64353478</v>
          </cell>
          <cell r="O22">
            <v>6.0301249999999849</v>
          </cell>
        </row>
        <row r="23">
          <cell r="M23">
            <v>150225240.06350616</v>
          </cell>
          <cell r="N23">
            <v>1207835967.6505959</v>
          </cell>
          <cell r="O23">
            <v>8.0401666666666394</v>
          </cell>
        </row>
        <row r="24">
          <cell r="M24">
            <v>138302601.96322817</v>
          </cell>
          <cell r="N24">
            <v>1667963955.3270137</v>
          </cell>
          <cell r="O24">
            <v>12.060249999999938</v>
          </cell>
        </row>
        <row r="25">
          <cell r="M25">
            <v>95494653.736515209</v>
          </cell>
          <cell r="N25">
            <v>2303378795.451591</v>
          </cell>
          <cell r="O25">
            <v>24.120499999999748</v>
          </cell>
        </row>
        <row r="26">
          <cell r="M26">
            <v>0</v>
          </cell>
          <cell r="N26">
            <v>3180856431.8141026</v>
          </cell>
          <cell r="O26">
            <v>289.44600000012065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lcus.ru/rastamozhka-au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3F644-07FF-4FBA-AB95-11855DAA0546}">
  <dimension ref="C1:AO247"/>
  <sheetViews>
    <sheetView tabSelected="1" topLeftCell="A52" zoomScaleNormal="100" workbookViewId="0">
      <selection activeCell="G71" sqref="G71"/>
    </sheetView>
  </sheetViews>
  <sheetFormatPr baseColWidth="10" defaultRowHeight="14.5" x14ac:dyDescent="0.35"/>
  <cols>
    <col min="3" max="3" width="7.453125" customWidth="1"/>
    <col min="4" max="4" width="67.26953125" customWidth="1"/>
    <col min="5" max="6" width="23.6328125" customWidth="1"/>
    <col min="7" max="7" width="19.90625" customWidth="1"/>
    <col min="8" max="8" width="15.7265625" customWidth="1"/>
    <col min="10" max="10" width="21" customWidth="1"/>
    <col min="11" max="11" width="18.81640625" style="78" customWidth="1"/>
    <col min="12" max="12" width="23.90625" style="77" customWidth="1"/>
    <col min="13" max="13" width="23.36328125" style="77" customWidth="1"/>
    <col min="14" max="14" width="20.26953125" style="79" customWidth="1"/>
    <col min="15" max="15" width="18.1796875" style="87" customWidth="1"/>
    <col min="16" max="16" width="11.81640625" style="79" bestFit="1" customWidth="1"/>
    <col min="17" max="17" width="13.90625" style="51" bestFit="1" customWidth="1"/>
    <col min="18" max="18" width="16.54296875" style="51" bestFit="1" customWidth="1"/>
    <col min="19" max="19" width="13.90625" style="51" bestFit="1" customWidth="1"/>
    <col min="20" max="20" width="10.90625" style="80"/>
    <col min="31" max="31" width="3.453125" customWidth="1"/>
    <col min="32" max="32" width="12.54296875" style="78" customWidth="1"/>
    <col min="33" max="33" width="13.81640625" style="78" customWidth="1"/>
    <col min="34" max="34" width="18.81640625" style="78" customWidth="1"/>
    <col min="35" max="35" width="11.6328125" style="78" customWidth="1"/>
    <col min="36" max="36" width="17.6328125" style="77" customWidth="1"/>
    <col min="37" max="37" width="18.1796875" style="77" bestFit="1" customWidth="1"/>
    <col min="38" max="38" width="18.1796875" style="79" bestFit="1" customWidth="1"/>
    <col min="39" max="39" width="18.1796875" style="87" customWidth="1"/>
    <col min="40" max="40" width="11.81640625" style="214" bestFit="1" customWidth="1"/>
  </cols>
  <sheetData>
    <row r="1" spans="3:41" ht="7" customHeight="1" thickBot="1" x14ac:dyDescent="0.4"/>
    <row r="2" spans="3:41" ht="15.5" thickTop="1" thickBot="1" x14ac:dyDescent="0.4">
      <c r="C2" s="71" t="s">
        <v>38</v>
      </c>
      <c r="D2" s="72"/>
      <c r="E2" s="73"/>
      <c r="F2" s="74" t="s">
        <v>36</v>
      </c>
      <c r="G2" s="75"/>
      <c r="H2" s="76" t="s">
        <v>37</v>
      </c>
      <c r="K2" s="119" t="s">
        <v>43</v>
      </c>
      <c r="L2" s="120" t="s">
        <v>44</v>
      </c>
      <c r="M2" s="120" t="s">
        <v>44</v>
      </c>
      <c r="N2" s="120" t="s">
        <v>44</v>
      </c>
      <c r="O2" s="121" t="s">
        <v>55</v>
      </c>
      <c r="P2" s="81" t="s">
        <v>49</v>
      </c>
      <c r="R2"/>
      <c r="AF2" s="215" t="s">
        <v>122</v>
      </c>
      <c r="AG2" s="265" t="s">
        <v>43</v>
      </c>
      <c r="AH2" s="215" t="s">
        <v>123</v>
      </c>
      <c r="AI2" s="265" t="s">
        <v>136</v>
      </c>
      <c r="AJ2" s="216" t="s">
        <v>44</v>
      </c>
      <c r="AK2" s="216" t="s">
        <v>44</v>
      </c>
      <c r="AL2" s="216" t="s">
        <v>44</v>
      </c>
      <c r="AM2" s="217" t="s">
        <v>55</v>
      </c>
      <c r="AN2" s="218" t="s">
        <v>49</v>
      </c>
    </row>
    <row r="3" spans="3:41" ht="15.5" thickTop="1" thickBot="1" x14ac:dyDescent="0.4">
      <c r="C3" s="69" t="s">
        <v>39</v>
      </c>
      <c r="D3" s="70"/>
      <c r="E3" s="88">
        <f ca="1">TODAY()</f>
        <v>44551</v>
      </c>
      <c r="F3" s="50" t="s">
        <v>120</v>
      </c>
      <c r="G3" s="259" t="str">
        <f>VLOOKUP(G5,AF:AH,3,0)</f>
        <v>Апрель</v>
      </c>
      <c r="H3" s="260">
        <f>VLOOKUP(G5,AF:AG,2,0)</f>
        <v>2021</v>
      </c>
      <c r="K3" s="122" t="s">
        <v>42</v>
      </c>
      <c r="L3" s="123" t="s">
        <v>46</v>
      </c>
      <c r="M3" s="123" t="s">
        <v>48</v>
      </c>
      <c r="N3" s="123" t="s">
        <v>48</v>
      </c>
      <c r="O3" s="124" t="s">
        <v>56</v>
      </c>
      <c r="P3" s="82" t="s">
        <v>50</v>
      </c>
      <c r="AF3" s="223" t="s">
        <v>124</v>
      </c>
      <c r="AG3" s="276" t="s">
        <v>42</v>
      </c>
      <c r="AH3" s="223" t="s">
        <v>125</v>
      </c>
      <c r="AI3" s="266" t="s">
        <v>137</v>
      </c>
      <c r="AJ3" s="220" t="s">
        <v>46</v>
      </c>
      <c r="AK3" s="220" t="s">
        <v>48</v>
      </c>
      <c r="AL3" s="220" t="s">
        <v>48</v>
      </c>
      <c r="AM3" s="221" t="s">
        <v>56</v>
      </c>
      <c r="AN3" s="222" t="s">
        <v>50</v>
      </c>
    </row>
    <row r="4" spans="3:41" ht="15" thickBot="1" x14ac:dyDescent="0.4">
      <c r="C4" s="40"/>
      <c r="D4" s="2" t="s">
        <v>0</v>
      </c>
      <c r="E4" s="5" t="s">
        <v>1</v>
      </c>
      <c r="F4" s="5" t="s">
        <v>2</v>
      </c>
      <c r="G4" s="6" t="s">
        <v>121</v>
      </c>
      <c r="H4" s="6" t="s">
        <v>25</v>
      </c>
      <c r="K4" s="125" t="s">
        <v>53</v>
      </c>
      <c r="L4" s="123" t="s">
        <v>45</v>
      </c>
      <c r="M4" s="123" t="s">
        <v>47</v>
      </c>
      <c r="N4" s="123" t="s">
        <v>107</v>
      </c>
      <c r="O4" s="124" t="s">
        <v>57</v>
      </c>
      <c r="P4" s="82" t="s">
        <v>51</v>
      </c>
      <c r="AF4" s="223" t="s">
        <v>126</v>
      </c>
      <c r="AG4" s="266" t="s">
        <v>53</v>
      </c>
      <c r="AH4" s="223" t="s">
        <v>54</v>
      </c>
      <c r="AI4" s="266" t="s">
        <v>138</v>
      </c>
      <c r="AJ4" s="220" t="s">
        <v>45</v>
      </c>
      <c r="AK4" s="220" t="s">
        <v>47</v>
      </c>
      <c r="AL4" s="220" t="s">
        <v>107</v>
      </c>
      <c r="AM4" s="221" t="s">
        <v>57</v>
      </c>
      <c r="AN4" s="222" t="s">
        <v>51</v>
      </c>
    </row>
    <row r="5" spans="3:41" ht="15" thickBot="1" x14ac:dyDescent="0.4">
      <c r="C5" s="41"/>
      <c r="D5" s="3"/>
      <c r="E5" s="261">
        <v>77.13</v>
      </c>
      <c r="F5" s="262">
        <v>91.48</v>
      </c>
      <c r="G5" s="263">
        <v>4</v>
      </c>
      <c r="H5" s="264" t="s">
        <v>29</v>
      </c>
      <c r="K5" s="122" t="s">
        <v>54</v>
      </c>
      <c r="L5" s="126"/>
      <c r="M5" s="126"/>
      <c r="N5" s="126"/>
      <c r="O5" s="127" t="s">
        <v>58</v>
      </c>
      <c r="P5" s="83" t="s">
        <v>52</v>
      </c>
      <c r="AF5" s="219" t="s">
        <v>54</v>
      </c>
      <c r="AG5" s="267" t="s">
        <v>54</v>
      </c>
      <c r="AH5" s="219"/>
      <c r="AI5" s="267" t="s">
        <v>126</v>
      </c>
      <c r="AJ5" s="224"/>
      <c r="AK5" s="224"/>
      <c r="AL5" s="224"/>
      <c r="AM5" s="225" t="s">
        <v>58</v>
      </c>
      <c r="AN5" s="226" t="s">
        <v>52</v>
      </c>
    </row>
    <row r="6" spans="3:41" ht="15" thickBot="1" x14ac:dyDescent="0.4">
      <c r="C6" s="317" t="s">
        <v>139</v>
      </c>
      <c r="D6" s="318"/>
      <c r="E6" s="319" t="s">
        <v>140</v>
      </c>
      <c r="F6" s="319" t="s">
        <v>141</v>
      </c>
      <c r="G6" s="319" t="s">
        <v>14</v>
      </c>
      <c r="H6" s="320" t="s">
        <v>142</v>
      </c>
      <c r="K6" s="99">
        <f>E31</f>
        <v>132275.13227513229</v>
      </c>
      <c r="L6" s="100">
        <f>1-H32</f>
        <v>0.41999999999999993</v>
      </c>
      <c r="M6" s="100">
        <f>1-L6</f>
        <v>0.58000000000000007</v>
      </c>
      <c r="N6" s="100">
        <f>M6</f>
        <v>0.58000000000000007</v>
      </c>
      <c r="O6" s="213">
        <v>1.2695000000000001</v>
      </c>
      <c r="P6" s="101">
        <f>(P7-P26)/(K26-K7)</f>
        <v>5.2631578947368418E-2</v>
      </c>
      <c r="AF6" s="99"/>
      <c r="AG6" s="268">
        <f>K6</f>
        <v>132275.13227513229</v>
      </c>
      <c r="AH6" s="227"/>
      <c r="AI6" s="227"/>
      <c r="AJ6" s="227">
        <f>L6</f>
        <v>0.41999999999999993</v>
      </c>
      <c r="AK6" s="227">
        <f>1-AJ6</f>
        <v>0.58000000000000007</v>
      </c>
      <c r="AL6" s="227">
        <f>AK6</f>
        <v>0.58000000000000007</v>
      </c>
      <c r="AM6" s="228">
        <f>O6</f>
        <v>1.2695000000000001</v>
      </c>
      <c r="AN6" s="229">
        <f>($P$7-$P$8)/12</f>
        <v>4.3859649122806972E-3</v>
      </c>
    </row>
    <row r="7" spans="3:41" ht="15" thickBot="1" x14ac:dyDescent="0.4">
      <c r="C7" s="321" t="s">
        <v>143</v>
      </c>
      <c r="D7" s="322"/>
      <c r="E7" s="248">
        <v>1</v>
      </c>
      <c r="F7" s="248">
        <v>2</v>
      </c>
      <c r="G7" s="248">
        <v>3</v>
      </c>
      <c r="H7" s="323">
        <v>3</v>
      </c>
      <c r="K7" s="89">
        <v>2021</v>
      </c>
      <c r="L7" s="91">
        <f>$K$6*$L$6</f>
        <v>55555.555555555555</v>
      </c>
      <c r="M7" s="93">
        <f>N7/O6</f>
        <v>60432.908010694555</v>
      </c>
      <c r="N7" s="94">
        <f>$L$7/$L$6*$M$6</f>
        <v>76719.57671957674</v>
      </c>
      <c r="O7" s="102">
        <f t="shared" ref="O7:O25" si="0">$O$6/P7</f>
        <v>1.2695000000000001</v>
      </c>
      <c r="P7" s="97">
        <v>1</v>
      </c>
      <c r="AF7" s="230">
        <v>1</v>
      </c>
      <c r="AG7" s="269">
        <v>2021</v>
      </c>
      <c r="AH7" s="231" t="s">
        <v>108</v>
      </c>
      <c r="AI7" s="312">
        <v>44197</v>
      </c>
      <c r="AJ7" s="232">
        <f>AG6*L6</f>
        <v>55555.555555555555</v>
      </c>
      <c r="AK7" s="93">
        <f>AL7/AM6</f>
        <v>60432.908010694555</v>
      </c>
      <c r="AL7" s="233">
        <f>$L$7/$L$6*$M$6</f>
        <v>76719.57671957674</v>
      </c>
      <c r="AM7" s="102">
        <f>$AM$6/AN7</f>
        <v>1.2695000000000001</v>
      </c>
      <c r="AN7" s="234">
        <f>P7</f>
        <v>1</v>
      </c>
    </row>
    <row r="8" spans="3:41" ht="15" thickBot="1" x14ac:dyDescent="0.4">
      <c r="C8" s="321" t="s">
        <v>144</v>
      </c>
      <c r="D8" s="322"/>
      <c r="E8" s="248">
        <v>8</v>
      </c>
      <c r="F8" s="248">
        <v>19</v>
      </c>
      <c r="G8" s="248">
        <v>19</v>
      </c>
      <c r="H8" s="323">
        <v>19</v>
      </c>
      <c r="K8" s="89">
        <f>K7+1</f>
        <v>2022</v>
      </c>
      <c r="L8" s="91">
        <f>N7</f>
        <v>76719.57671957674</v>
      </c>
      <c r="M8" s="93">
        <f t="shared" ref="M8:M25" si="1">N8/O8</f>
        <v>79062.601457600424</v>
      </c>
      <c r="N8" s="94">
        <f t="shared" ref="N8:N26" si="2">L8/$L$6*$M$6</f>
        <v>105946.08213655838</v>
      </c>
      <c r="O8" s="102">
        <f t="shared" si="0"/>
        <v>1.3400277777777778</v>
      </c>
      <c r="P8" s="84">
        <f t="shared" ref="P8:P25" si="3">P7-$P$6</f>
        <v>0.94736842105263164</v>
      </c>
      <c r="AF8" s="230">
        <f>AF7+1</f>
        <v>2</v>
      </c>
      <c r="AG8" s="270">
        <f t="shared" ref="AG8:AG18" si="4">AG7</f>
        <v>2021</v>
      </c>
      <c r="AH8" s="231" t="s">
        <v>109</v>
      </c>
      <c r="AI8" s="312">
        <f>AI7+31</f>
        <v>44228</v>
      </c>
      <c r="AJ8" s="91">
        <f>AL8/$AL$6*$AJ$6</f>
        <v>57319.223985890654</v>
      </c>
      <c r="AK8" s="93">
        <f>AL8/AM8</f>
        <v>62077.94191713995</v>
      </c>
      <c r="AL8" s="94">
        <f>AL7+($AL$19-$AL$7)/12</f>
        <v>79155.118837658549</v>
      </c>
      <c r="AM8" s="102">
        <f>$O$6/AN8</f>
        <v>1.2750925110132159</v>
      </c>
      <c r="AN8" s="235">
        <f t="shared" ref="AN8:AN71" si="5">AN7-($P$7-$P$8)/12</f>
        <v>0.99561403508771928</v>
      </c>
      <c r="AO8" s="51"/>
    </row>
    <row r="9" spans="3:41" ht="15" thickBot="1" x14ac:dyDescent="0.4">
      <c r="C9" s="324" t="s">
        <v>145</v>
      </c>
      <c r="D9" s="322"/>
      <c r="E9" s="325">
        <v>0.7</v>
      </c>
      <c r="F9" s="325">
        <v>0.5</v>
      </c>
      <c r="G9" s="325">
        <v>0.5</v>
      </c>
      <c r="H9" s="326">
        <v>0.5</v>
      </c>
      <c r="K9" s="89">
        <f t="shared" ref="K9:K26" si="6">K8+1</f>
        <v>2023</v>
      </c>
      <c r="L9" s="91">
        <f t="shared" ref="L9:L26" si="7">N8</f>
        <v>105946.08213655838</v>
      </c>
      <c r="M9" s="93">
        <f t="shared" si="1"/>
        <v>103116.03840898682</v>
      </c>
      <c r="N9" s="94">
        <f t="shared" si="2"/>
        <v>146306.49437905685</v>
      </c>
      <c r="O9" s="102">
        <f t="shared" si="0"/>
        <v>1.4188529411764705</v>
      </c>
      <c r="P9" s="84">
        <f t="shared" si="3"/>
        <v>0.89473684210526327</v>
      </c>
      <c r="AF9" s="230">
        <f t="shared" ref="AF9:AF72" si="8">AF8+1</f>
        <v>3</v>
      </c>
      <c r="AG9" s="270">
        <f t="shared" si="4"/>
        <v>2021</v>
      </c>
      <c r="AH9" s="231" t="s">
        <v>110</v>
      </c>
      <c r="AI9" s="312">
        <f>AI8+28</f>
        <v>44256</v>
      </c>
      <c r="AJ9" s="91">
        <f t="shared" ref="AJ9:AJ18" si="9">AL9/$AL$6*$AJ$6</f>
        <v>59082.892416225761</v>
      </c>
      <c r="AK9" s="93">
        <f t="shared" ref="AK9:AK18" si="10">AL9/AM9</f>
        <v>63706.146832215054</v>
      </c>
      <c r="AL9" s="94">
        <f t="shared" ref="AL9:AL18" si="11">AL8+($AL$19-$AL$7)/12</f>
        <v>81590.660955740357</v>
      </c>
      <c r="AM9" s="102">
        <f t="shared" ref="AM9:AM72" si="12">$O$6/AN9</f>
        <v>1.2807345132743364</v>
      </c>
      <c r="AN9" s="235">
        <f t="shared" si="5"/>
        <v>0.99122807017543857</v>
      </c>
    </row>
    <row r="10" spans="3:41" x14ac:dyDescent="0.35">
      <c r="C10" s="375"/>
      <c r="D10" s="376" t="s">
        <v>153</v>
      </c>
      <c r="E10" s="377"/>
      <c r="F10" s="377"/>
      <c r="G10" s="377"/>
      <c r="H10" s="378"/>
      <c r="K10" s="89">
        <f t="shared" si="6"/>
        <v>2024</v>
      </c>
      <c r="L10" s="91">
        <f t="shared" si="7"/>
        <v>146306.49437905685</v>
      </c>
      <c r="M10" s="93">
        <f t="shared" si="1"/>
        <v>134021.96588731062</v>
      </c>
      <c r="N10" s="94">
        <f t="shared" si="2"/>
        <v>202042.30176155473</v>
      </c>
      <c r="O10" s="102">
        <f t="shared" si="0"/>
        <v>1.5075312499999998</v>
      </c>
      <c r="P10" s="84">
        <f t="shared" si="3"/>
        <v>0.84210526315789491</v>
      </c>
      <c r="AF10" s="230">
        <f t="shared" si="8"/>
        <v>4</v>
      </c>
      <c r="AG10" s="270">
        <f t="shared" si="4"/>
        <v>2021</v>
      </c>
      <c r="AH10" s="231" t="s">
        <v>111</v>
      </c>
      <c r="AI10" s="312">
        <f t="shared" ref="AI10:AI17" si="13">AI9+31</f>
        <v>44287</v>
      </c>
      <c r="AJ10" s="91">
        <f t="shared" si="9"/>
        <v>60846.56084656086</v>
      </c>
      <c r="AK10" s="93">
        <f t="shared" si="10"/>
        <v>65317.522755919876</v>
      </c>
      <c r="AL10" s="94">
        <f t="shared" si="11"/>
        <v>84026.203073822166</v>
      </c>
      <c r="AM10" s="102">
        <f t="shared" si="12"/>
        <v>1.2864266666666668</v>
      </c>
      <c r="AN10" s="235">
        <f t="shared" si="5"/>
        <v>0.98684210526315785</v>
      </c>
    </row>
    <row r="11" spans="3:41" ht="15" thickBot="1" x14ac:dyDescent="0.4">
      <c r="C11" s="375"/>
      <c r="D11" s="376" t="s">
        <v>154</v>
      </c>
      <c r="E11" s="377"/>
      <c r="F11" s="377"/>
      <c r="G11" s="377"/>
      <c r="H11" s="378"/>
      <c r="K11" s="89">
        <f t="shared" si="6"/>
        <v>2025</v>
      </c>
      <c r="L11" s="91">
        <f t="shared" si="7"/>
        <v>202042.30176155473</v>
      </c>
      <c r="M11" s="93">
        <f t="shared" si="1"/>
        <v>173510.58083625045</v>
      </c>
      <c r="N11" s="94">
        <f t="shared" si="2"/>
        <v>279010.79767071852</v>
      </c>
      <c r="O11" s="102">
        <f t="shared" si="0"/>
        <v>1.608033333333333</v>
      </c>
      <c r="P11" s="84">
        <f t="shared" si="3"/>
        <v>0.78947368421052655</v>
      </c>
      <c r="AF11" s="230">
        <f t="shared" si="8"/>
        <v>5</v>
      </c>
      <c r="AG11" s="270">
        <f t="shared" si="4"/>
        <v>2021</v>
      </c>
      <c r="AH11" s="231" t="s">
        <v>112</v>
      </c>
      <c r="AI11" s="312">
        <f>AI10+30</f>
        <v>44317</v>
      </c>
      <c r="AJ11" s="91">
        <f t="shared" si="9"/>
        <v>62610.229276895967</v>
      </c>
      <c r="AK11" s="93">
        <f t="shared" si="10"/>
        <v>66912.069688254414</v>
      </c>
      <c r="AL11" s="94">
        <f t="shared" si="11"/>
        <v>86461.745191903974</v>
      </c>
      <c r="AM11" s="102">
        <f t="shared" si="12"/>
        <v>1.292169642857143</v>
      </c>
      <c r="AN11" s="235">
        <f t="shared" si="5"/>
        <v>0.98245614035087714</v>
      </c>
    </row>
    <row r="12" spans="3:41" x14ac:dyDescent="0.35">
      <c r="C12" s="4"/>
      <c r="D12" s="5" t="s">
        <v>3</v>
      </c>
      <c r="E12" s="5" t="s">
        <v>4</v>
      </c>
      <c r="F12" s="5" t="s">
        <v>4</v>
      </c>
      <c r="G12" s="44" t="s">
        <v>26</v>
      </c>
      <c r="H12" s="6" t="s">
        <v>5</v>
      </c>
      <c r="K12" s="89">
        <f t="shared" si="6"/>
        <v>2026</v>
      </c>
      <c r="L12" s="91">
        <f t="shared" si="7"/>
        <v>279010.79767071852</v>
      </c>
      <c r="M12" s="93">
        <f t="shared" si="1"/>
        <v>223635.85974450066</v>
      </c>
      <c r="N12" s="94">
        <f t="shared" si="2"/>
        <v>385300.62535480189</v>
      </c>
      <c r="O12" s="102">
        <f t="shared" si="0"/>
        <v>1.7228928571428566</v>
      </c>
      <c r="P12" s="84">
        <f t="shared" si="3"/>
        <v>0.73684210526315819</v>
      </c>
      <c r="AF12" s="230">
        <f t="shared" si="8"/>
        <v>6</v>
      </c>
      <c r="AG12" s="271">
        <f t="shared" si="4"/>
        <v>2021</v>
      </c>
      <c r="AH12" s="231" t="s">
        <v>113</v>
      </c>
      <c r="AI12" s="312">
        <f t="shared" si="13"/>
        <v>44348</v>
      </c>
      <c r="AJ12" s="91">
        <f t="shared" si="9"/>
        <v>64373.897707231059</v>
      </c>
      <c r="AK12" s="93">
        <f t="shared" si="10"/>
        <v>68489.78762921867</v>
      </c>
      <c r="AL12" s="94">
        <f t="shared" si="11"/>
        <v>88897.287309985782</v>
      </c>
      <c r="AM12" s="102">
        <f t="shared" si="12"/>
        <v>1.2979641255605383</v>
      </c>
      <c r="AN12" s="235">
        <f t="shared" si="5"/>
        <v>0.97807017543859642</v>
      </c>
    </row>
    <row r="13" spans="3:41" x14ac:dyDescent="0.35">
      <c r="C13" s="7" t="s">
        <v>6</v>
      </c>
      <c r="D13" s="8" t="s">
        <v>7</v>
      </c>
      <c r="E13" s="8" t="s">
        <v>8</v>
      </c>
      <c r="F13" s="8" t="s">
        <v>8</v>
      </c>
      <c r="G13" s="45" t="s">
        <v>27</v>
      </c>
      <c r="H13" s="9" t="s">
        <v>8</v>
      </c>
      <c r="K13" s="89">
        <f t="shared" si="6"/>
        <v>2027</v>
      </c>
      <c r="L13" s="91">
        <f t="shared" si="7"/>
        <v>385300.62535480189</v>
      </c>
      <c r="M13" s="93">
        <f t="shared" si="1"/>
        <v>286771.15348189382</v>
      </c>
      <c r="N13" s="94">
        <f t="shared" si="2"/>
        <v>532081.81596615515</v>
      </c>
      <c r="O13" s="102">
        <f t="shared" si="0"/>
        <v>1.8554230769230762</v>
      </c>
      <c r="P13" s="84">
        <f t="shared" si="3"/>
        <v>0.68421052631578982</v>
      </c>
      <c r="AF13" s="230">
        <f t="shared" si="8"/>
        <v>7</v>
      </c>
      <c r="AG13" s="270">
        <f t="shared" si="4"/>
        <v>2021</v>
      </c>
      <c r="AH13" s="231" t="s">
        <v>114</v>
      </c>
      <c r="AI13" s="312">
        <f>AI12+30</f>
        <v>44378</v>
      </c>
      <c r="AJ13" s="91">
        <f t="shared" si="9"/>
        <v>66137.566137566158</v>
      </c>
      <c r="AK13" s="93">
        <f t="shared" si="10"/>
        <v>70050.676578812636</v>
      </c>
      <c r="AL13" s="94">
        <f t="shared" si="11"/>
        <v>91332.829428067591</v>
      </c>
      <c r="AM13" s="102">
        <f t="shared" si="12"/>
        <v>1.3038108108108111</v>
      </c>
      <c r="AN13" s="235">
        <f t="shared" si="5"/>
        <v>0.97368421052631571</v>
      </c>
    </row>
    <row r="14" spans="3:41" x14ac:dyDescent="0.35">
      <c r="C14" s="7" t="s">
        <v>9</v>
      </c>
      <c r="D14" s="8" t="s">
        <v>10</v>
      </c>
      <c r="E14" s="8" t="s">
        <v>11</v>
      </c>
      <c r="F14" s="8" t="s">
        <v>11</v>
      </c>
      <c r="G14" s="45" t="s">
        <v>30</v>
      </c>
      <c r="H14" s="9" t="s">
        <v>11</v>
      </c>
      <c r="K14" s="89">
        <f t="shared" si="6"/>
        <v>2028</v>
      </c>
      <c r="L14" s="91">
        <f t="shared" si="7"/>
        <v>532081.81596615515</v>
      </c>
      <c r="M14" s="93">
        <f t="shared" si="1"/>
        <v>365554.43740549113</v>
      </c>
      <c r="N14" s="94">
        <f t="shared" si="2"/>
        <v>734779.65061992873</v>
      </c>
      <c r="O14" s="102">
        <f t="shared" si="0"/>
        <v>2.0100416666666656</v>
      </c>
      <c r="P14" s="84">
        <f t="shared" si="3"/>
        <v>0.63157894736842146</v>
      </c>
      <c r="AF14" s="230">
        <f t="shared" si="8"/>
        <v>8</v>
      </c>
      <c r="AG14" s="270">
        <f t="shared" si="4"/>
        <v>2021</v>
      </c>
      <c r="AH14" s="231" t="s">
        <v>115</v>
      </c>
      <c r="AI14" s="312">
        <f t="shared" si="13"/>
        <v>44409</v>
      </c>
      <c r="AJ14" s="91">
        <f t="shared" si="9"/>
        <v>67901.234567901265</v>
      </c>
      <c r="AK14" s="93">
        <f t="shared" si="10"/>
        <v>71594.736537036326</v>
      </c>
      <c r="AL14" s="94">
        <f t="shared" si="11"/>
        <v>93768.371546149399</v>
      </c>
      <c r="AM14" s="102">
        <f t="shared" si="12"/>
        <v>1.3097104072398191</v>
      </c>
      <c r="AN14" s="235">
        <f t="shared" si="5"/>
        <v>0.96929824561403499</v>
      </c>
    </row>
    <row r="15" spans="3:41" ht="15" thickBot="1" x14ac:dyDescent="0.4">
      <c r="C15" s="10"/>
      <c r="D15" s="11" t="s">
        <v>12</v>
      </c>
      <c r="E15" s="11" t="s">
        <v>19</v>
      </c>
      <c r="F15" s="11" t="s">
        <v>13</v>
      </c>
      <c r="G15" s="46" t="s">
        <v>31</v>
      </c>
      <c r="H15" s="12" t="s">
        <v>18</v>
      </c>
      <c r="K15" s="89">
        <f t="shared" si="6"/>
        <v>2029</v>
      </c>
      <c r="L15" s="91">
        <f t="shared" si="7"/>
        <v>734779.65061992873</v>
      </c>
      <c r="M15" s="93">
        <f t="shared" si="1"/>
        <v>462745.49814425292</v>
      </c>
      <c r="N15" s="94">
        <f t="shared" si="2"/>
        <v>1014695.7079989496</v>
      </c>
      <c r="O15" s="102">
        <f t="shared" si="0"/>
        <v>2.1927727272727258</v>
      </c>
      <c r="P15" s="84">
        <f t="shared" si="3"/>
        <v>0.5789473684210531</v>
      </c>
      <c r="AF15" s="230">
        <f t="shared" si="8"/>
        <v>9</v>
      </c>
      <c r="AG15" s="270">
        <f t="shared" si="4"/>
        <v>2021</v>
      </c>
      <c r="AH15" s="231" t="s">
        <v>116</v>
      </c>
      <c r="AI15" s="312">
        <f t="shared" si="13"/>
        <v>44440</v>
      </c>
      <c r="AJ15" s="91">
        <f t="shared" si="9"/>
        <v>69664.902998236372</v>
      </c>
      <c r="AK15" s="93">
        <f t="shared" si="10"/>
        <v>73121.967503889726</v>
      </c>
      <c r="AL15" s="94">
        <f t="shared" si="11"/>
        <v>96203.913664231208</v>
      </c>
      <c r="AM15" s="102">
        <f t="shared" si="12"/>
        <v>1.3156636363636365</v>
      </c>
      <c r="AN15" s="235">
        <f t="shared" si="5"/>
        <v>0.96491228070175428</v>
      </c>
    </row>
    <row r="16" spans="3:41" ht="15" thickBot="1" x14ac:dyDescent="0.4">
      <c r="C16" s="43" t="s">
        <v>34</v>
      </c>
      <c r="D16" s="31"/>
      <c r="E16" s="29"/>
      <c r="F16" s="29"/>
      <c r="G16" s="29"/>
      <c r="H16" s="30"/>
      <c r="K16" s="89">
        <f t="shared" si="6"/>
        <v>2030</v>
      </c>
      <c r="L16" s="91">
        <f t="shared" si="7"/>
        <v>1014695.7079989496</v>
      </c>
      <c r="M16" s="93">
        <f t="shared" si="1"/>
        <v>580935.90676118375</v>
      </c>
      <c r="N16" s="94">
        <f t="shared" si="2"/>
        <v>1401246.4539033119</v>
      </c>
      <c r="O16" s="102">
        <f t="shared" si="0"/>
        <v>2.4120499999999976</v>
      </c>
      <c r="P16" s="84">
        <f t="shared" si="3"/>
        <v>0.52631578947368474</v>
      </c>
      <c r="AF16" s="230">
        <f t="shared" si="8"/>
        <v>10</v>
      </c>
      <c r="AG16" s="270">
        <f t="shared" si="4"/>
        <v>2021</v>
      </c>
      <c r="AH16" s="231" t="s">
        <v>117</v>
      </c>
      <c r="AI16" s="312">
        <f>AI15+30</f>
        <v>44470</v>
      </c>
      <c r="AJ16" s="91">
        <f t="shared" si="9"/>
        <v>71428.571428571478</v>
      </c>
      <c r="AK16" s="93">
        <f t="shared" si="10"/>
        <v>74632.369479372821</v>
      </c>
      <c r="AL16" s="94">
        <f t="shared" si="11"/>
        <v>98639.455782313016</v>
      </c>
      <c r="AM16" s="102">
        <f t="shared" si="12"/>
        <v>1.3216712328767126</v>
      </c>
      <c r="AN16" s="235">
        <f t="shared" si="5"/>
        <v>0.96052631578947356</v>
      </c>
    </row>
    <row r="17" spans="3:41" x14ac:dyDescent="0.35">
      <c r="C17" s="13">
        <v>1</v>
      </c>
      <c r="D17" s="14" t="s">
        <v>14</v>
      </c>
      <c r="E17" s="67">
        <v>50000</v>
      </c>
      <c r="F17" s="33">
        <f t="shared" ref="F17:F22" si="14">E17*$F$5</f>
        <v>4574000</v>
      </c>
      <c r="G17" s="66">
        <v>10</v>
      </c>
      <c r="H17" s="15">
        <f>E17/E25</f>
        <v>0.9</v>
      </c>
      <c r="I17" s="350"/>
      <c r="K17" s="89">
        <f t="shared" si="6"/>
        <v>2031</v>
      </c>
      <c r="L17" s="91">
        <f t="shared" si="7"/>
        <v>1401246.4539033119</v>
      </c>
      <c r="M17" s="93">
        <f t="shared" si="1"/>
        <v>722020.34126032877</v>
      </c>
      <c r="N17" s="94">
        <f t="shared" si="2"/>
        <v>1935054.6268188599</v>
      </c>
      <c r="O17" s="102">
        <f t="shared" si="0"/>
        <v>2.6800555555555525</v>
      </c>
      <c r="P17" s="84">
        <f t="shared" si="3"/>
        <v>0.47368421052631632</v>
      </c>
      <c r="AF17" s="230">
        <f t="shared" si="8"/>
        <v>11</v>
      </c>
      <c r="AG17" s="270">
        <f t="shared" si="4"/>
        <v>2021</v>
      </c>
      <c r="AH17" s="231" t="s">
        <v>118</v>
      </c>
      <c r="AI17" s="312">
        <f t="shared" si="13"/>
        <v>44501</v>
      </c>
      <c r="AJ17" s="91">
        <f t="shared" si="9"/>
        <v>73192.239858906585</v>
      </c>
      <c r="AK17" s="93">
        <f t="shared" si="10"/>
        <v>76125.94246348564</v>
      </c>
      <c r="AL17" s="94">
        <f t="shared" si="11"/>
        <v>101074.99790039482</v>
      </c>
      <c r="AM17" s="102">
        <f t="shared" si="12"/>
        <v>1.3277339449541288</v>
      </c>
      <c r="AN17" s="235">
        <f t="shared" si="5"/>
        <v>0.95614035087719285</v>
      </c>
    </row>
    <row r="18" spans="3:41" ht="15" thickBot="1" x14ac:dyDescent="0.4">
      <c r="C18" s="16">
        <f>C17+1</f>
        <v>2</v>
      </c>
      <c r="D18" s="17" t="s">
        <v>15</v>
      </c>
      <c r="E18" s="68">
        <v>0</v>
      </c>
      <c r="F18" s="33">
        <f t="shared" si="14"/>
        <v>0</v>
      </c>
      <c r="G18" s="47">
        <f>G17</f>
        <v>10</v>
      </c>
      <c r="H18" s="18">
        <f>E18/E25</f>
        <v>0</v>
      </c>
      <c r="K18" s="89">
        <f t="shared" si="6"/>
        <v>2032</v>
      </c>
      <c r="L18" s="91">
        <f t="shared" si="7"/>
        <v>1935054.6268188599</v>
      </c>
      <c r="M18" s="93">
        <f t="shared" si="1"/>
        <v>886289.51943066833</v>
      </c>
      <c r="N18" s="94">
        <f t="shared" si="2"/>
        <v>2672218.2941784263</v>
      </c>
      <c r="O18" s="102">
        <f t="shared" si="0"/>
        <v>3.0150624999999964</v>
      </c>
      <c r="P18" s="84">
        <f t="shared" si="3"/>
        <v>0.4210526315789479</v>
      </c>
      <c r="AF18" s="236">
        <f t="shared" si="8"/>
        <v>12</v>
      </c>
      <c r="AG18" s="272">
        <f t="shared" si="4"/>
        <v>2021</v>
      </c>
      <c r="AH18" s="237" t="s">
        <v>119</v>
      </c>
      <c r="AI18" s="313">
        <f>AI17+30</f>
        <v>44531</v>
      </c>
      <c r="AJ18" s="238">
        <f t="shared" si="9"/>
        <v>74955.908289241677</v>
      </c>
      <c r="AK18" s="239">
        <f t="shared" si="10"/>
        <v>77602.686456228184</v>
      </c>
      <c r="AL18" s="240">
        <f t="shared" si="11"/>
        <v>103510.54001847663</v>
      </c>
      <c r="AM18" s="241">
        <f t="shared" si="12"/>
        <v>1.3338525345622123</v>
      </c>
      <c r="AN18" s="242">
        <f t="shared" si="5"/>
        <v>0.95175438596491213</v>
      </c>
      <c r="AO18" s="51"/>
    </row>
    <row r="19" spans="3:41" x14ac:dyDescent="0.35">
      <c r="C19" s="19">
        <f t="shared" ref="C19" si="15">C18+1</f>
        <v>3</v>
      </c>
      <c r="D19" s="20" t="s">
        <v>16</v>
      </c>
      <c r="E19" s="21">
        <f>E25*H19</f>
        <v>5555.5555555555557</v>
      </c>
      <c r="F19" s="34">
        <f t="shared" si="14"/>
        <v>508222.22222222225</v>
      </c>
      <c r="G19" s="48">
        <f>G18</f>
        <v>10</v>
      </c>
      <c r="H19" s="65">
        <v>0.1</v>
      </c>
      <c r="I19" s="1"/>
      <c r="K19" s="89">
        <f t="shared" si="6"/>
        <v>2033</v>
      </c>
      <c r="L19" s="91">
        <f t="shared" si="7"/>
        <v>2672218.2941784263</v>
      </c>
      <c r="M19" s="93">
        <f t="shared" si="1"/>
        <v>1070933.1693120582</v>
      </c>
      <c r="N19" s="94">
        <f t="shared" si="2"/>
        <v>3690206.2157702092</v>
      </c>
      <c r="O19" s="102">
        <f t="shared" si="0"/>
        <v>3.4457857142857096</v>
      </c>
      <c r="P19" s="84">
        <f t="shared" si="3"/>
        <v>0.36842105263157948</v>
      </c>
      <c r="AF19" s="230">
        <f>AF18+1</f>
        <v>13</v>
      </c>
      <c r="AG19" s="269">
        <f>AG7+1</f>
        <v>2022</v>
      </c>
      <c r="AH19" s="243" t="s">
        <v>108</v>
      </c>
      <c r="AI19" s="314">
        <f>AI18+31</f>
        <v>44562</v>
      </c>
      <c r="AJ19" s="232">
        <f>AL7</f>
        <v>76719.57671957674</v>
      </c>
      <c r="AK19" s="93">
        <f>AL19/AM19</f>
        <v>79062.601457600409</v>
      </c>
      <c r="AL19" s="233">
        <f t="shared" ref="AL19" si="16">AJ19/$L$6*$M$6</f>
        <v>105946.08213655838</v>
      </c>
      <c r="AM19" s="244">
        <f t="shared" si="12"/>
        <v>1.340027777777778</v>
      </c>
      <c r="AN19" s="245">
        <f t="shared" si="5"/>
        <v>0.94736842105263142</v>
      </c>
    </row>
    <row r="20" spans="3:41" x14ac:dyDescent="0.35">
      <c r="C20" s="22" t="s">
        <v>17</v>
      </c>
      <c r="D20" s="23" t="s">
        <v>40</v>
      </c>
      <c r="E20" s="24">
        <f>E19-E21-E22-E23</f>
        <v>5527.7777777777783</v>
      </c>
      <c r="F20" s="33">
        <f t="shared" si="14"/>
        <v>505681.11111111118</v>
      </c>
      <c r="G20" s="47">
        <f>G19</f>
        <v>10</v>
      </c>
      <c r="H20" s="344">
        <f>E20/E25</f>
        <v>9.9500000000000005E-2</v>
      </c>
      <c r="K20" s="89">
        <f>K19+1</f>
        <v>2034</v>
      </c>
      <c r="L20" s="91">
        <f>N19</f>
        <v>3690206.2157702092</v>
      </c>
      <c r="M20" s="93">
        <f t="shared" si="1"/>
        <v>1267635.1800020286</v>
      </c>
      <c r="N20" s="94">
        <f t="shared" si="2"/>
        <v>5095999.0598731469</v>
      </c>
      <c r="O20" s="102">
        <f t="shared" si="0"/>
        <v>4.0200833333333268</v>
      </c>
      <c r="P20" s="84">
        <f>P19-$P$6</f>
        <v>0.31578947368421106</v>
      </c>
      <c r="AF20" s="230">
        <f>AF19+1</f>
        <v>14</v>
      </c>
      <c r="AG20" s="269">
        <f>AG19</f>
        <v>2022</v>
      </c>
      <c r="AH20" s="243" t="s">
        <v>109</v>
      </c>
      <c r="AI20" s="314">
        <f>AI19+31</f>
        <v>44593</v>
      </c>
      <c r="AJ20" s="91">
        <f>AL20/$AL$6*$AJ$6</f>
        <v>78483.245149911847</v>
      </c>
      <c r="AK20" s="93">
        <f>AL20/AM20</f>
        <v>80505.687467602358</v>
      </c>
      <c r="AL20" s="94">
        <f>AL19+($AL$19-$AL$7)/12</f>
        <v>108381.62425464019</v>
      </c>
      <c r="AM20" s="102">
        <f t="shared" si="12"/>
        <v>1.3462604651162795</v>
      </c>
      <c r="AN20" s="235">
        <f>AN19-($P$7-$P$8)/12</f>
        <v>0.9429824561403507</v>
      </c>
    </row>
    <row r="21" spans="3:41" x14ac:dyDescent="0.35">
      <c r="C21" s="22" t="s">
        <v>17</v>
      </c>
      <c r="D21" s="23" t="s">
        <v>41</v>
      </c>
      <c r="E21" s="24">
        <f>E18/E25*E19</f>
        <v>0</v>
      </c>
      <c r="F21" s="33">
        <f t="shared" si="14"/>
        <v>0</v>
      </c>
      <c r="G21" s="47">
        <f>G20</f>
        <v>10</v>
      </c>
      <c r="H21" s="344">
        <f>E21/$E$25</f>
        <v>0</v>
      </c>
      <c r="K21" s="89">
        <f t="shared" si="6"/>
        <v>2035</v>
      </c>
      <c r="L21" s="91">
        <f t="shared" si="7"/>
        <v>5095999.0598731469</v>
      </c>
      <c r="M21" s="93">
        <f t="shared" si="1"/>
        <v>1458786.5166690019</v>
      </c>
      <c r="N21" s="94">
        <f t="shared" si="2"/>
        <v>7037332.0350629184</v>
      </c>
      <c r="O21" s="102">
        <f t="shared" si="0"/>
        <v>4.8240999999999907</v>
      </c>
      <c r="P21" s="84">
        <f t="shared" si="3"/>
        <v>0.26315789473684265</v>
      </c>
      <c r="AF21" s="230">
        <f t="shared" si="8"/>
        <v>15</v>
      </c>
      <c r="AG21" s="270">
        <f t="shared" ref="AG21:AG30" si="17">AG20</f>
        <v>2022</v>
      </c>
      <c r="AH21" s="243" t="s">
        <v>110</v>
      </c>
      <c r="AI21" s="314">
        <f>AI20+28</f>
        <v>44621</v>
      </c>
      <c r="AJ21" s="91">
        <f t="shared" ref="AJ21:AJ30" si="18">AL21/$AL$6*$AJ$6</f>
        <v>80246.913580246954</v>
      </c>
      <c r="AK21" s="93">
        <f t="shared" ref="AK21:AK30" si="19">AL21/AM21</f>
        <v>81931.944486234046</v>
      </c>
      <c r="AL21" s="94">
        <f t="shared" ref="AL21:AL30" si="20">AL20+($AL$19-$AL$7)/12</f>
        <v>110817.166372722</v>
      </c>
      <c r="AM21" s="102">
        <f t="shared" si="12"/>
        <v>1.3525514018691593</v>
      </c>
      <c r="AN21" s="235">
        <f t="shared" si="5"/>
        <v>0.93859649122806998</v>
      </c>
    </row>
    <row r="22" spans="3:41" x14ac:dyDescent="0.35">
      <c r="C22" s="22" t="s">
        <v>17</v>
      </c>
      <c r="D22" s="23" t="s">
        <v>146</v>
      </c>
      <c r="E22" s="24">
        <f>E19*H22</f>
        <v>27.777777777777779</v>
      </c>
      <c r="F22" s="33">
        <f t="shared" si="14"/>
        <v>2541.1111111111113</v>
      </c>
      <c r="G22" s="47">
        <f>G21</f>
        <v>10</v>
      </c>
      <c r="H22" s="379">
        <f>H28</f>
        <v>5.0000000000000001E-3</v>
      </c>
      <c r="K22" s="89">
        <f t="shared" si="6"/>
        <v>2036</v>
      </c>
      <c r="L22" s="91">
        <f t="shared" si="7"/>
        <v>7037332.0350629184</v>
      </c>
      <c r="M22" s="93">
        <f t="shared" si="1"/>
        <v>1611611.7707962322</v>
      </c>
      <c r="N22" s="94">
        <f t="shared" si="2"/>
        <v>9718220.4293726049</v>
      </c>
      <c r="O22" s="102">
        <f t="shared" si="0"/>
        <v>6.0301249999999849</v>
      </c>
      <c r="P22" s="84">
        <f t="shared" si="3"/>
        <v>0.21052631578947423</v>
      </c>
      <c r="AF22" s="230">
        <f t="shared" si="8"/>
        <v>16</v>
      </c>
      <c r="AG22" s="270">
        <f t="shared" si="17"/>
        <v>2022</v>
      </c>
      <c r="AH22" s="243" t="s">
        <v>111</v>
      </c>
      <c r="AI22" s="314">
        <f>AI21+31</f>
        <v>44652</v>
      </c>
      <c r="AJ22" s="91">
        <f t="shared" si="18"/>
        <v>82010.582010582046</v>
      </c>
      <c r="AK22" s="93">
        <f t="shared" si="19"/>
        <v>83341.372513495458</v>
      </c>
      <c r="AL22" s="94">
        <f t="shared" si="20"/>
        <v>113252.70849080381</v>
      </c>
      <c r="AM22" s="102">
        <f t="shared" si="12"/>
        <v>1.3589014084507045</v>
      </c>
      <c r="AN22" s="235">
        <f t="shared" si="5"/>
        <v>0.93421052631578927</v>
      </c>
    </row>
    <row r="23" spans="3:41" x14ac:dyDescent="0.35">
      <c r="C23" s="22" t="s">
        <v>17</v>
      </c>
      <c r="D23" s="345" t="s">
        <v>135</v>
      </c>
      <c r="E23" s="346">
        <f>F23/$F$5</f>
        <v>0</v>
      </c>
      <c r="F23" s="328">
        <v>0</v>
      </c>
      <c r="G23" s="47">
        <f>G24</f>
        <v>10</v>
      </c>
      <c r="H23" s="347">
        <f>E23/E25</f>
        <v>0</v>
      </c>
      <c r="K23" s="89">
        <f t="shared" si="6"/>
        <v>2037</v>
      </c>
      <c r="L23" s="91">
        <f t="shared" si="7"/>
        <v>9718220.4293726049</v>
      </c>
      <c r="M23" s="93">
        <f t="shared" si="1"/>
        <v>1669169.3340389568</v>
      </c>
      <c r="N23" s="94">
        <f t="shared" si="2"/>
        <v>13420399.640562173</v>
      </c>
      <c r="O23" s="102">
        <f t="shared" si="0"/>
        <v>8.0401666666666394</v>
      </c>
      <c r="P23" s="84">
        <f t="shared" si="3"/>
        <v>0.15789473684210581</v>
      </c>
      <c r="AF23" s="230">
        <f t="shared" si="8"/>
        <v>17</v>
      </c>
      <c r="AG23" s="270">
        <f t="shared" si="17"/>
        <v>2022</v>
      </c>
      <c r="AH23" s="243" t="s">
        <v>112</v>
      </c>
      <c r="AI23" s="314">
        <f t="shared" ref="AI23:AI30" si="21">AI22+30</f>
        <v>44682</v>
      </c>
      <c r="AJ23" s="91">
        <f t="shared" si="18"/>
        <v>83774.250440917138</v>
      </c>
      <c r="AK23" s="93">
        <f t="shared" si="19"/>
        <v>84733.971549386566</v>
      </c>
      <c r="AL23" s="94">
        <f t="shared" si="20"/>
        <v>115688.25060888562</v>
      </c>
      <c r="AM23" s="102">
        <f t="shared" si="12"/>
        <v>1.3653113207547174</v>
      </c>
      <c r="AN23" s="235">
        <f t="shared" si="5"/>
        <v>0.92982456140350855</v>
      </c>
    </row>
    <row r="24" spans="3:41" ht="15" thickBot="1" x14ac:dyDescent="0.4">
      <c r="C24" s="25">
        <f>C19+1</f>
        <v>4</v>
      </c>
      <c r="D24" s="327" t="s">
        <v>23</v>
      </c>
      <c r="E24" s="348">
        <v>0</v>
      </c>
      <c r="F24" s="33">
        <f>E24*F5</f>
        <v>0</v>
      </c>
      <c r="G24" s="47">
        <f>G21</f>
        <v>10</v>
      </c>
      <c r="H24" s="349">
        <f>E24/E25</f>
        <v>0</v>
      </c>
      <c r="K24" s="89">
        <f t="shared" si="6"/>
        <v>2038</v>
      </c>
      <c r="L24" s="91">
        <f t="shared" si="7"/>
        <v>13420399.640562173</v>
      </c>
      <c r="M24" s="93">
        <f t="shared" si="1"/>
        <v>1536695.5773692015</v>
      </c>
      <c r="N24" s="94">
        <f t="shared" si="2"/>
        <v>18532932.836966816</v>
      </c>
      <c r="O24" s="102">
        <f t="shared" si="0"/>
        <v>12.060249999999938</v>
      </c>
      <c r="P24" s="84">
        <f t="shared" si="3"/>
        <v>0.10526315789473739</v>
      </c>
      <c r="AF24" s="230">
        <f t="shared" si="8"/>
        <v>18</v>
      </c>
      <c r="AG24" s="273">
        <f t="shared" si="17"/>
        <v>2022</v>
      </c>
      <c r="AH24" s="243" t="s">
        <v>113</v>
      </c>
      <c r="AI24" s="314">
        <f>AI23+31</f>
        <v>44713</v>
      </c>
      <c r="AJ24" s="91">
        <f t="shared" si="18"/>
        <v>85537.918871252245</v>
      </c>
      <c r="AK24" s="93">
        <f t="shared" si="19"/>
        <v>86109.741593907384</v>
      </c>
      <c r="AL24" s="94">
        <f t="shared" si="20"/>
        <v>118123.79272696743</v>
      </c>
      <c r="AM24" s="102">
        <f t="shared" si="12"/>
        <v>1.3717819905213275</v>
      </c>
      <c r="AN24" s="235">
        <f t="shared" si="5"/>
        <v>0.92543859649122784</v>
      </c>
    </row>
    <row r="25" spans="3:41" ht="15" thickBot="1" x14ac:dyDescent="0.4">
      <c r="C25" s="43" t="s">
        <v>33</v>
      </c>
      <c r="D25" s="329"/>
      <c r="E25" s="36">
        <f>(E17+E18+E24)/(100%-H19)</f>
        <v>55555.555555555555</v>
      </c>
      <c r="F25" s="37">
        <f t="shared" ref="F25:F31" si="22">E25*$F$5</f>
        <v>5082222.222222222</v>
      </c>
      <c r="G25" s="53">
        <f>G24</f>
        <v>10</v>
      </c>
      <c r="H25" s="38">
        <f>E25/E25</f>
        <v>1</v>
      </c>
      <c r="J25" s="51"/>
      <c r="K25" s="89">
        <f t="shared" si="6"/>
        <v>2039</v>
      </c>
      <c r="L25" s="91">
        <f t="shared" si="7"/>
        <v>18532932.836966816</v>
      </c>
      <c r="M25" s="93">
        <f t="shared" si="1"/>
        <v>1061051.7081835021</v>
      </c>
      <c r="N25" s="94">
        <f t="shared" si="2"/>
        <v>25593097.727239896</v>
      </c>
      <c r="O25" s="102">
        <f t="shared" si="0"/>
        <v>24.120499999999748</v>
      </c>
      <c r="P25" s="84">
        <f t="shared" si="3"/>
        <v>5.2631578947368973E-2</v>
      </c>
      <c r="AF25" s="230">
        <f t="shared" si="8"/>
        <v>19</v>
      </c>
      <c r="AG25" s="270">
        <f t="shared" si="17"/>
        <v>2022</v>
      </c>
      <c r="AH25" s="243" t="s">
        <v>114</v>
      </c>
      <c r="AI25" s="314">
        <f t="shared" si="21"/>
        <v>44743</v>
      </c>
      <c r="AJ25" s="91">
        <f t="shared" si="18"/>
        <v>87301.587301587351</v>
      </c>
      <c r="AK25" s="93">
        <f t="shared" si="19"/>
        <v>87468.682647057925</v>
      </c>
      <c r="AL25" s="94">
        <f t="shared" si="20"/>
        <v>120559.33484504923</v>
      </c>
      <c r="AM25" s="102">
        <f t="shared" si="12"/>
        <v>1.3783142857142863</v>
      </c>
      <c r="AN25" s="235">
        <f t="shared" si="5"/>
        <v>0.92105263157894712</v>
      </c>
    </row>
    <row r="26" spans="3:41" ht="15" thickBot="1" x14ac:dyDescent="0.4">
      <c r="C26" s="26"/>
      <c r="D26" s="330" t="s">
        <v>20</v>
      </c>
      <c r="E26" s="39">
        <f>E31*$H$26</f>
        <v>52910.052910052917</v>
      </c>
      <c r="F26" s="35">
        <f t="shared" si="22"/>
        <v>4840211.6402116409</v>
      </c>
      <c r="G26" s="49">
        <f>G24</f>
        <v>10</v>
      </c>
      <c r="H26" s="64">
        <v>0.4</v>
      </c>
      <c r="J26" s="1"/>
      <c r="K26" s="90">
        <f t="shared" si="6"/>
        <v>2040</v>
      </c>
      <c r="L26" s="92">
        <f t="shared" si="7"/>
        <v>25593097.727239896</v>
      </c>
      <c r="M26" s="96" t="s">
        <v>59</v>
      </c>
      <c r="N26" s="95">
        <f t="shared" si="2"/>
        <v>35342849.242378913</v>
      </c>
      <c r="O26" s="96" t="s">
        <v>59</v>
      </c>
      <c r="P26" s="98">
        <v>0</v>
      </c>
      <c r="AF26" s="230">
        <f t="shared" si="8"/>
        <v>20</v>
      </c>
      <c r="AG26" s="270">
        <f t="shared" si="17"/>
        <v>2022</v>
      </c>
      <c r="AH26" s="243" t="s">
        <v>115</v>
      </c>
      <c r="AI26" s="314">
        <f>AI25+31</f>
        <v>44774</v>
      </c>
      <c r="AJ26" s="91">
        <f t="shared" si="18"/>
        <v>89065.255731922458</v>
      </c>
      <c r="AK26" s="93">
        <f t="shared" si="19"/>
        <v>88810.794708838192</v>
      </c>
      <c r="AL26" s="94">
        <f t="shared" si="20"/>
        <v>122994.87696313104</v>
      </c>
      <c r="AM26" s="102">
        <f t="shared" si="12"/>
        <v>1.3849090909090913</v>
      </c>
      <c r="AN26" s="235">
        <f t="shared" si="5"/>
        <v>0.91666666666666641</v>
      </c>
    </row>
    <row r="27" spans="3:41" ht="15" thickBot="1" x14ac:dyDescent="0.4">
      <c r="C27" s="26"/>
      <c r="D27" s="27" t="s">
        <v>156</v>
      </c>
      <c r="E27" s="28">
        <f>E31*H27</f>
        <v>21825.396825396827</v>
      </c>
      <c r="F27" s="32">
        <f t="shared" si="22"/>
        <v>1996587.3015873018</v>
      </c>
      <c r="G27" s="49">
        <f>G26</f>
        <v>10</v>
      </c>
      <c r="H27" s="331">
        <f>17%-H28</f>
        <v>0.16500000000000001</v>
      </c>
      <c r="AF27" s="230">
        <f t="shared" si="8"/>
        <v>21</v>
      </c>
      <c r="AG27" s="270">
        <f t="shared" si="17"/>
        <v>2022</v>
      </c>
      <c r="AH27" s="243" t="s">
        <v>116</v>
      </c>
      <c r="AI27" s="314">
        <f>AI26+31</f>
        <v>44805</v>
      </c>
      <c r="AJ27" s="91">
        <f t="shared" si="18"/>
        <v>90828.924162257565</v>
      </c>
      <c r="AK27" s="93">
        <f t="shared" si="19"/>
        <v>90136.077779248153</v>
      </c>
      <c r="AL27" s="94">
        <f t="shared" si="20"/>
        <v>125430.41908121285</v>
      </c>
      <c r="AM27" s="102">
        <f t="shared" si="12"/>
        <v>1.3915673076923083</v>
      </c>
      <c r="AN27" s="235">
        <f t="shared" si="5"/>
        <v>0.91228070175438569</v>
      </c>
    </row>
    <row r="28" spans="3:41" ht="15" thickBot="1" x14ac:dyDescent="0.4">
      <c r="C28" s="26"/>
      <c r="D28" s="27" t="s">
        <v>147</v>
      </c>
      <c r="E28" s="28">
        <f>E31*H28</f>
        <v>661.37566137566148</v>
      </c>
      <c r="F28" s="32">
        <f t="shared" si="22"/>
        <v>60502.645502645515</v>
      </c>
      <c r="G28" s="49">
        <f>G27</f>
        <v>10</v>
      </c>
      <c r="H28" s="64">
        <v>5.0000000000000001E-3</v>
      </c>
      <c r="AF28" s="230">
        <f>AF27+1</f>
        <v>22</v>
      </c>
      <c r="AG28" s="270">
        <f>AG27</f>
        <v>2022</v>
      </c>
      <c r="AH28" s="243" t="s">
        <v>117</v>
      </c>
      <c r="AI28" s="314">
        <f t="shared" si="21"/>
        <v>44835</v>
      </c>
      <c r="AJ28" s="91">
        <f t="shared" si="18"/>
        <v>92592.592592592657</v>
      </c>
      <c r="AK28" s="93">
        <f t="shared" si="19"/>
        <v>91444.531858287854</v>
      </c>
      <c r="AL28" s="94">
        <f>AL27+($AL$19-$AL$7)/12</f>
        <v>127865.96119929466</v>
      </c>
      <c r="AM28" s="102">
        <f t="shared" si="12"/>
        <v>1.3982898550724643</v>
      </c>
      <c r="AN28" s="235">
        <f>AN27-($P$7-$P$8)/12</f>
        <v>0.90789473684210498</v>
      </c>
    </row>
    <row r="29" spans="3:41" s="103" customFormat="1" ht="15" thickBot="1" x14ac:dyDescent="0.4">
      <c r="C29" s="332"/>
      <c r="D29" s="27" t="s">
        <v>133</v>
      </c>
      <c r="E29" s="28">
        <f>E31*H29</f>
        <v>1322.751322751323</v>
      </c>
      <c r="F29" s="32">
        <f t="shared" si="22"/>
        <v>121005.29100529103</v>
      </c>
      <c r="G29" s="49">
        <f>G26</f>
        <v>10</v>
      </c>
      <c r="H29" s="64">
        <v>0.01</v>
      </c>
      <c r="R29" s="51"/>
      <c r="S29" s="51"/>
      <c r="T29" s="80"/>
      <c r="U29"/>
      <c r="V29"/>
      <c r="W29"/>
      <c r="X29"/>
      <c r="Y29"/>
      <c r="Z29"/>
      <c r="AA29"/>
      <c r="AB29"/>
      <c r="AC29"/>
      <c r="AD29"/>
      <c r="AE29"/>
      <c r="AF29" s="230">
        <f t="shared" si="8"/>
        <v>23</v>
      </c>
      <c r="AG29" s="270">
        <f t="shared" si="17"/>
        <v>2022</v>
      </c>
      <c r="AH29" s="243" t="s">
        <v>118</v>
      </c>
      <c r="AI29" s="314">
        <f>AI28+31</f>
        <v>44866</v>
      </c>
      <c r="AJ29" s="91">
        <f t="shared" si="18"/>
        <v>94356.261022927749</v>
      </c>
      <c r="AK29" s="93">
        <f t="shared" si="19"/>
        <v>92736.156945957249</v>
      </c>
      <c r="AL29" s="94">
        <f t="shared" si="20"/>
        <v>130301.50331737647</v>
      </c>
      <c r="AM29" s="102">
        <f t="shared" si="12"/>
        <v>1.4050776699029133</v>
      </c>
      <c r="AN29" s="235">
        <f t="shared" si="5"/>
        <v>0.90350877192982426</v>
      </c>
      <c r="AO29"/>
    </row>
    <row r="30" spans="3:41" s="103" customFormat="1" ht="15" thickBot="1" x14ac:dyDescent="0.4">
      <c r="C30" s="43" t="s">
        <v>35</v>
      </c>
      <c r="D30" s="329"/>
      <c r="E30" s="36">
        <f>SUM(E26:E29)</f>
        <v>76719.576719576726</v>
      </c>
      <c r="F30" s="37">
        <f t="shared" si="22"/>
        <v>7018306.8783068787</v>
      </c>
      <c r="G30" s="53">
        <f>G25</f>
        <v>10</v>
      </c>
      <c r="H30" s="38">
        <f>E30/E30</f>
        <v>1</v>
      </c>
      <c r="R30" s="51"/>
      <c r="S30" s="51"/>
      <c r="T30" s="80"/>
      <c r="U30"/>
      <c r="V30"/>
      <c r="W30"/>
      <c r="X30"/>
      <c r="Y30"/>
      <c r="Z30"/>
      <c r="AA30"/>
      <c r="AB30"/>
      <c r="AC30"/>
      <c r="AD30"/>
      <c r="AE30"/>
      <c r="AF30" s="236">
        <f t="shared" si="8"/>
        <v>24</v>
      </c>
      <c r="AG30" s="272">
        <f t="shared" si="17"/>
        <v>2022</v>
      </c>
      <c r="AH30" s="246" t="s">
        <v>119</v>
      </c>
      <c r="AI30" s="315">
        <f t="shared" si="21"/>
        <v>44896</v>
      </c>
      <c r="AJ30" s="238">
        <f t="shared" si="18"/>
        <v>96119.929453262856</v>
      </c>
      <c r="AK30" s="239">
        <f t="shared" si="19"/>
        <v>94010.953042256355</v>
      </c>
      <c r="AL30" s="240">
        <f t="shared" si="20"/>
        <v>132737.04543545828</v>
      </c>
      <c r="AM30" s="241">
        <f t="shared" si="12"/>
        <v>1.4119317073170738</v>
      </c>
      <c r="AN30" s="242">
        <f t="shared" si="5"/>
        <v>0.89912280701754355</v>
      </c>
      <c r="AO30"/>
    </row>
    <row r="31" spans="3:41" s="103" customFormat="1" ht="15" thickBot="1" x14ac:dyDescent="0.4">
      <c r="C31" s="59" t="s">
        <v>24</v>
      </c>
      <c r="D31" s="59"/>
      <c r="E31" s="60">
        <f>E25/(1-H32)</f>
        <v>132275.13227513229</v>
      </c>
      <c r="F31" s="61">
        <f t="shared" si="22"/>
        <v>12100529.100529103</v>
      </c>
      <c r="G31" s="62">
        <f>G30</f>
        <v>10</v>
      </c>
      <c r="H31" s="63">
        <f>E31/E25</f>
        <v>2.3809523809523814</v>
      </c>
      <c r="R31" s="51"/>
      <c r="S31" s="51"/>
      <c r="T31" s="80"/>
      <c r="U31"/>
      <c r="V31"/>
      <c r="W31"/>
      <c r="X31"/>
      <c r="Y31"/>
      <c r="Z31"/>
      <c r="AA31"/>
      <c r="AB31"/>
      <c r="AC31"/>
      <c r="AD31"/>
      <c r="AE31"/>
      <c r="AF31" s="230">
        <f>AF30+1</f>
        <v>25</v>
      </c>
      <c r="AG31" s="269">
        <f>AG19+1</f>
        <v>2023</v>
      </c>
      <c r="AH31" s="231" t="s">
        <v>108</v>
      </c>
      <c r="AI31" s="312">
        <v>44927</v>
      </c>
      <c r="AJ31" s="232">
        <f>AL19</f>
        <v>105946.08213655838</v>
      </c>
      <c r="AK31" s="93">
        <f>AL31/AM31</f>
        <v>103116.03840898677</v>
      </c>
      <c r="AL31" s="233">
        <f t="shared" ref="AL31" si="23">AJ31/$L$6*$M$6</f>
        <v>146306.49437905685</v>
      </c>
      <c r="AM31" s="244">
        <f t="shared" si="12"/>
        <v>1.4188529411764712</v>
      </c>
      <c r="AN31" s="245">
        <f t="shared" si="5"/>
        <v>0.89473684210526283</v>
      </c>
      <c r="AO31"/>
    </row>
    <row r="32" spans="3:41" s="103" customFormat="1" ht="15" thickBot="1" x14ac:dyDescent="0.4">
      <c r="C32" s="351"/>
      <c r="D32" s="352" t="s">
        <v>152</v>
      </c>
      <c r="E32" s="353">
        <f>VLOOKUP($G$5,AF:AK,5,0)</f>
        <v>60846.56084656086</v>
      </c>
      <c r="F32" s="354" t="s">
        <v>60</v>
      </c>
      <c r="G32" s="355">
        <v>150</v>
      </c>
      <c r="H32" s="42">
        <f>H26+H27+H28+H29</f>
        <v>0.58000000000000007</v>
      </c>
      <c r="R32" s="51"/>
      <c r="S32" s="51"/>
      <c r="T32" s="80"/>
      <c r="U32"/>
      <c r="V32"/>
      <c r="W32"/>
      <c r="X32"/>
      <c r="Y32"/>
      <c r="Z32"/>
      <c r="AA32"/>
      <c r="AB32"/>
      <c r="AC32"/>
      <c r="AD32"/>
      <c r="AE32"/>
      <c r="AF32" s="230">
        <f t="shared" si="8"/>
        <v>26</v>
      </c>
      <c r="AG32" s="269">
        <f>AG31</f>
        <v>2023</v>
      </c>
      <c r="AH32" s="231" t="s">
        <v>109</v>
      </c>
      <c r="AI32" s="312">
        <f>AI31+31</f>
        <v>44958</v>
      </c>
      <c r="AJ32" s="91">
        <f>AL32/$AL$6*$AJ$6</f>
        <v>107709.75056689346</v>
      </c>
      <c r="AK32" s="93">
        <f>AL32/AM32</f>
        <v>104318.71025655608</v>
      </c>
      <c r="AL32" s="94">
        <f>AL31+($AL$19-$AL$7)/12</f>
        <v>148742.03649713864</v>
      </c>
      <c r="AM32" s="102">
        <f t="shared" si="12"/>
        <v>1.4258423645320204</v>
      </c>
      <c r="AN32" s="235">
        <f t="shared" si="5"/>
        <v>0.89035087719298212</v>
      </c>
      <c r="AO32"/>
    </row>
    <row r="33" spans="3:41" s="103" customFormat="1" ht="15" thickBot="1" x14ac:dyDescent="0.4">
      <c r="C33" s="351"/>
      <c r="D33" s="352" t="s">
        <v>148</v>
      </c>
      <c r="E33" s="353">
        <f>E34*E32/E31</f>
        <v>0</v>
      </c>
      <c r="F33" s="354" t="s">
        <v>60</v>
      </c>
      <c r="G33" s="355">
        <v>150</v>
      </c>
      <c r="H33" s="42" t="e">
        <f>E30/E34</f>
        <v>#DIV/0!</v>
      </c>
      <c r="R33" s="51"/>
      <c r="S33" s="51"/>
      <c r="T33" s="80"/>
      <c r="U33"/>
      <c r="V33"/>
      <c r="W33"/>
      <c r="X33"/>
      <c r="Y33"/>
      <c r="Z33"/>
      <c r="AA33"/>
      <c r="AB33"/>
      <c r="AC33"/>
      <c r="AD33"/>
      <c r="AE33"/>
      <c r="AF33" s="230">
        <f t="shared" si="8"/>
        <v>27</v>
      </c>
      <c r="AG33" s="270">
        <f t="shared" ref="AG33:AG42" si="24">AG32</f>
        <v>2023</v>
      </c>
      <c r="AH33" s="231" t="s">
        <v>110</v>
      </c>
      <c r="AI33" s="312">
        <f>AI32+28</f>
        <v>44986</v>
      </c>
      <c r="AJ33" s="91">
        <f t="shared" ref="AJ33:AJ42" si="25">AL33/$AL$6*$AJ$6</f>
        <v>109473.41899722855</v>
      </c>
      <c r="AK33" s="93">
        <f t="shared" ref="AK33:AK42" si="26">AL33/AM33</f>
        <v>105504.55311275511</v>
      </c>
      <c r="AL33" s="94">
        <f t="shared" ref="AL33:AL42" si="27">AL32+($AL$19-$AL$7)/12</f>
        <v>151177.57861522044</v>
      </c>
      <c r="AM33" s="102">
        <f t="shared" si="12"/>
        <v>1.4329009900990106</v>
      </c>
      <c r="AN33" s="235">
        <f t="shared" si="5"/>
        <v>0.8859649122807014</v>
      </c>
      <c r="AO33"/>
    </row>
    <row r="34" spans="3:41" s="103" customFormat="1" ht="15" thickBot="1" x14ac:dyDescent="0.4">
      <c r="C34" s="285" t="s">
        <v>149</v>
      </c>
      <c r="D34" s="333"/>
      <c r="E34" s="277">
        <f>E31*H34</f>
        <v>0</v>
      </c>
      <c r="F34" s="278">
        <f>E34*$F$5</f>
        <v>0</v>
      </c>
      <c r="G34" s="279">
        <f>G31</f>
        <v>10</v>
      </c>
      <c r="H34" s="280">
        <v>0</v>
      </c>
      <c r="R34" s="51"/>
      <c r="S34" s="51"/>
      <c r="T34" s="80"/>
      <c r="U34"/>
      <c r="V34"/>
      <c r="W34"/>
      <c r="X34"/>
      <c r="Y34"/>
      <c r="Z34"/>
      <c r="AA34"/>
      <c r="AB34"/>
      <c r="AC34"/>
      <c r="AD34"/>
      <c r="AE34"/>
      <c r="AF34" s="230">
        <f t="shared" si="8"/>
        <v>28</v>
      </c>
      <c r="AG34" s="270">
        <f t="shared" si="24"/>
        <v>2023</v>
      </c>
      <c r="AH34" s="231" t="s">
        <v>111</v>
      </c>
      <c r="AI34" s="312">
        <f t="shared" ref="AI34:AI41" si="28">AI33+31</f>
        <v>45017</v>
      </c>
      <c r="AJ34" s="91">
        <f t="shared" si="25"/>
        <v>111237.08742756365</v>
      </c>
      <c r="AK34" s="93">
        <f t="shared" si="26"/>
        <v>106673.56697758383</v>
      </c>
      <c r="AL34" s="94">
        <f t="shared" si="27"/>
        <v>153613.12073330223</v>
      </c>
      <c r="AM34" s="102">
        <f t="shared" si="12"/>
        <v>1.4400298507462694</v>
      </c>
      <c r="AN34" s="235">
        <f t="shared" si="5"/>
        <v>0.88157894736842068</v>
      </c>
      <c r="AO34"/>
    </row>
    <row r="35" spans="3:41" s="103" customFormat="1" ht="15" thickBot="1" x14ac:dyDescent="0.4">
      <c r="C35" s="356"/>
      <c r="D35" s="357" t="s">
        <v>155</v>
      </c>
      <c r="E35" s="358">
        <f>E32+E33</f>
        <v>60846.56084656086</v>
      </c>
      <c r="F35" s="359" t="s">
        <v>60</v>
      </c>
      <c r="G35" s="360">
        <v>150</v>
      </c>
      <c r="H35" s="42" t="e">
        <f>H32+H33</f>
        <v>#DIV/0!</v>
      </c>
      <c r="R35" s="51"/>
      <c r="S35" s="51"/>
      <c r="T35" s="80"/>
      <c r="U35"/>
      <c r="V35"/>
      <c r="W35"/>
      <c r="X35"/>
      <c r="Y35"/>
      <c r="Z35"/>
      <c r="AA35"/>
      <c r="AB35"/>
      <c r="AC35"/>
      <c r="AD35"/>
      <c r="AE35"/>
      <c r="AF35" s="230">
        <f t="shared" si="8"/>
        <v>29</v>
      </c>
      <c r="AG35" s="270">
        <f t="shared" si="24"/>
        <v>2023</v>
      </c>
      <c r="AH35" s="231" t="s">
        <v>112</v>
      </c>
      <c r="AI35" s="312">
        <f>AI34+30</f>
        <v>45047</v>
      </c>
      <c r="AJ35" s="91">
        <f t="shared" si="25"/>
        <v>113000.75585789874</v>
      </c>
      <c r="AK35" s="93">
        <f t="shared" si="26"/>
        <v>107825.7518510423</v>
      </c>
      <c r="AL35" s="94">
        <f t="shared" si="27"/>
        <v>156048.66285138403</v>
      </c>
      <c r="AM35" s="102">
        <f t="shared" si="12"/>
        <v>1.4472300000000007</v>
      </c>
      <c r="AN35" s="235">
        <f t="shared" si="5"/>
        <v>0.87719298245613997</v>
      </c>
      <c r="AO35"/>
    </row>
    <row r="36" spans="3:41" s="103" customFormat="1" ht="15" thickBot="1" x14ac:dyDescent="0.4">
      <c r="C36" s="361" t="s">
        <v>150</v>
      </c>
      <c r="D36" s="362"/>
      <c r="E36" s="363">
        <f>E31+E34</f>
        <v>132275.13227513229</v>
      </c>
      <c r="F36" s="363">
        <f>E36*$F$5</f>
        <v>12100529.100529103</v>
      </c>
      <c r="G36" s="364">
        <f>G34</f>
        <v>10</v>
      </c>
      <c r="H36" s="365">
        <f>E36/E25</f>
        <v>2.3809523809523814</v>
      </c>
      <c r="R36" s="51"/>
      <c r="S36" s="51"/>
      <c r="T36" s="80"/>
      <c r="U36"/>
      <c r="V36"/>
      <c r="W36"/>
      <c r="X36"/>
      <c r="Y36"/>
      <c r="Z36"/>
      <c r="AA36"/>
      <c r="AB36"/>
      <c r="AC36"/>
      <c r="AD36"/>
      <c r="AE36"/>
      <c r="AF36" s="230">
        <f t="shared" si="8"/>
        <v>30</v>
      </c>
      <c r="AG36" s="273">
        <f t="shared" si="24"/>
        <v>2023</v>
      </c>
      <c r="AH36" s="231" t="s">
        <v>113</v>
      </c>
      <c r="AI36" s="312">
        <f t="shared" si="28"/>
        <v>45078</v>
      </c>
      <c r="AJ36" s="91">
        <f t="shared" si="25"/>
        <v>114764.42428823383</v>
      </c>
      <c r="AK36" s="93">
        <f t="shared" si="26"/>
        <v>108961.10773313047</v>
      </c>
      <c r="AL36" s="94">
        <f t="shared" si="27"/>
        <v>158484.20496946582</v>
      </c>
      <c r="AM36" s="102">
        <f t="shared" si="12"/>
        <v>1.4545025125628148</v>
      </c>
      <c r="AN36" s="235">
        <f t="shared" si="5"/>
        <v>0.87280701754385925</v>
      </c>
      <c r="AO36"/>
    </row>
    <row r="37" spans="3:41" s="103" customFormat="1" ht="15" thickBot="1" x14ac:dyDescent="0.4">
      <c r="C37" s="371" t="s">
        <v>22</v>
      </c>
      <c r="D37" s="372"/>
      <c r="E37" s="373">
        <f>E31*H37</f>
        <v>0</v>
      </c>
      <c r="F37" s="278">
        <f>E37*$F$5</f>
        <v>0</v>
      </c>
      <c r="G37" s="279">
        <f>G30</f>
        <v>10</v>
      </c>
      <c r="H37" s="280">
        <v>0</v>
      </c>
      <c r="R37" s="51"/>
      <c r="S37" s="51"/>
      <c r="T37" s="80"/>
      <c r="U37"/>
      <c r="V37"/>
      <c r="W37"/>
      <c r="X37"/>
      <c r="Y37"/>
      <c r="Z37"/>
      <c r="AA37"/>
      <c r="AB37"/>
      <c r="AC37"/>
      <c r="AD37"/>
      <c r="AE37"/>
      <c r="AF37" s="230">
        <f t="shared" si="8"/>
        <v>31</v>
      </c>
      <c r="AG37" s="270">
        <f t="shared" si="24"/>
        <v>2023</v>
      </c>
      <c r="AH37" s="231" t="s">
        <v>114</v>
      </c>
      <c r="AI37" s="312">
        <f>AI36+30</f>
        <v>45108</v>
      </c>
      <c r="AJ37" s="91">
        <f t="shared" si="25"/>
        <v>116528.09271856892</v>
      </c>
      <c r="AK37" s="93">
        <f t="shared" si="26"/>
        <v>110079.63462384835</v>
      </c>
      <c r="AL37" s="94">
        <f t="shared" si="27"/>
        <v>160919.74708754761</v>
      </c>
      <c r="AM37" s="102">
        <f t="shared" si="12"/>
        <v>1.4618484848484856</v>
      </c>
      <c r="AN37" s="235">
        <f t="shared" si="5"/>
        <v>0.86842105263157854</v>
      </c>
      <c r="AO37"/>
    </row>
    <row r="38" spans="3:41" s="103" customFormat="1" ht="15" thickBot="1" x14ac:dyDescent="0.4">
      <c r="C38" s="374"/>
      <c r="D38" s="281" t="s">
        <v>127</v>
      </c>
      <c r="E38" s="284">
        <f>E37*(1-H32)</f>
        <v>0</v>
      </c>
      <c r="F38" s="282" t="s">
        <v>60</v>
      </c>
      <c r="G38" s="283" t="s">
        <v>128</v>
      </c>
      <c r="H38" s="42">
        <f>E38/E31</f>
        <v>0</v>
      </c>
      <c r="R38" s="51"/>
      <c r="S38" s="51"/>
      <c r="T38" s="80"/>
      <c r="U38"/>
      <c r="V38"/>
      <c r="W38"/>
      <c r="X38"/>
      <c r="Y38"/>
      <c r="Z38"/>
      <c r="AA38"/>
      <c r="AB38"/>
      <c r="AC38"/>
      <c r="AD38"/>
      <c r="AE38"/>
      <c r="AF38" s="230">
        <f t="shared" si="8"/>
        <v>32</v>
      </c>
      <c r="AG38" s="270">
        <f t="shared" si="24"/>
        <v>2023</v>
      </c>
      <c r="AH38" s="231" t="s">
        <v>115</v>
      </c>
      <c r="AI38" s="312">
        <f t="shared" si="28"/>
        <v>45139</v>
      </c>
      <c r="AJ38" s="91">
        <f t="shared" si="25"/>
        <v>118291.76114890401</v>
      </c>
      <c r="AK38" s="93">
        <f t="shared" si="26"/>
        <v>111181.33252319595</v>
      </c>
      <c r="AL38" s="94">
        <f t="shared" si="27"/>
        <v>163355.28920562941</v>
      </c>
      <c r="AM38" s="102">
        <f t="shared" si="12"/>
        <v>1.4692690355329958</v>
      </c>
      <c r="AN38" s="235">
        <f t="shared" si="5"/>
        <v>0.86403508771929782</v>
      </c>
      <c r="AO38"/>
    </row>
    <row r="39" spans="3:41" s="103" customFormat="1" ht="15" thickBot="1" x14ac:dyDescent="0.4">
      <c r="C39" s="366" t="s">
        <v>151</v>
      </c>
      <c r="D39" s="367"/>
      <c r="E39" s="368">
        <f>E31+E34+E37</f>
        <v>132275.13227513229</v>
      </c>
      <c r="F39" s="368">
        <f>E39*$F$5</f>
        <v>12100529.100529103</v>
      </c>
      <c r="G39" s="369">
        <f>G37</f>
        <v>10</v>
      </c>
      <c r="H39" s="370">
        <f>E39/E25</f>
        <v>2.3809523809523814</v>
      </c>
      <c r="R39" s="51"/>
      <c r="S39" s="51"/>
      <c r="T39" s="80"/>
      <c r="U39"/>
      <c r="V39"/>
      <c r="W39"/>
      <c r="X39"/>
      <c r="Y39"/>
      <c r="Z39"/>
      <c r="AA39"/>
      <c r="AB39"/>
      <c r="AC39"/>
      <c r="AD39"/>
      <c r="AE39"/>
      <c r="AF39" s="230">
        <f t="shared" si="8"/>
        <v>33</v>
      </c>
      <c r="AG39" s="270">
        <f t="shared" si="24"/>
        <v>2023</v>
      </c>
      <c r="AH39" s="231" t="s">
        <v>116</v>
      </c>
      <c r="AI39" s="312">
        <f t="shared" si="28"/>
        <v>45170</v>
      </c>
      <c r="AJ39" s="91">
        <f t="shared" si="25"/>
        <v>120055.42957923911</v>
      </c>
      <c r="AK39" s="93">
        <f t="shared" si="26"/>
        <v>112266.20143117328</v>
      </c>
      <c r="AL39" s="94">
        <f t="shared" si="27"/>
        <v>165790.8313237112</v>
      </c>
      <c r="AM39" s="102">
        <f t="shared" si="12"/>
        <v>1.4767653061224497</v>
      </c>
      <c r="AN39" s="235">
        <f t="shared" si="5"/>
        <v>0.85964912280701711</v>
      </c>
      <c r="AO39"/>
    </row>
    <row r="40" spans="3:41" s="103" customFormat="1" ht="15" thickBot="1" x14ac:dyDescent="0.4">
      <c r="C40" s="334" t="s">
        <v>28</v>
      </c>
      <c r="D40" s="335"/>
      <c r="E40" s="52">
        <f>E31/H40</f>
        <v>14503.852223150468</v>
      </c>
      <c r="F40" s="54">
        <f>E40*$F$5</f>
        <v>1326812.401373805</v>
      </c>
      <c r="G40" s="55">
        <f>G32*H32+G17*(1-H32)</f>
        <v>91.200000000000017</v>
      </c>
      <c r="H40" s="85">
        <f>G40/G17</f>
        <v>9.120000000000001</v>
      </c>
      <c r="R40" s="51"/>
      <c r="S40" s="51"/>
      <c r="T40" s="80"/>
      <c r="U40"/>
      <c r="V40"/>
      <c r="W40"/>
      <c r="X40"/>
      <c r="Y40"/>
      <c r="Z40"/>
      <c r="AA40"/>
      <c r="AB40"/>
      <c r="AC40"/>
      <c r="AD40"/>
      <c r="AE40"/>
      <c r="AF40" s="230">
        <f t="shared" si="8"/>
        <v>34</v>
      </c>
      <c r="AG40" s="270">
        <f t="shared" si="24"/>
        <v>2023</v>
      </c>
      <c r="AH40" s="231" t="s">
        <v>117</v>
      </c>
      <c r="AI40" s="312">
        <f>AI39+30</f>
        <v>45200</v>
      </c>
      <c r="AJ40" s="91">
        <f t="shared" si="25"/>
        <v>121819.0980095742</v>
      </c>
      <c r="AK40" s="93">
        <f t="shared" si="26"/>
        <v>113334.24134778029</v>
      </c>
      <c r="AL40" s="94">
        <f t="shared" si="27"/>
        <v>168226.373441793</v>
      </c>
      <c r="AM40" s="102">
        <f t="shared" si="12"/>
        <v>1.4843384615384625</v>
      </c>
      <c r="AN40" s="235">
        <f t="shared" si="5"/>
        <v>0.85526315789473639</v>
      </c>
      <c r="AO40"/>
    </row>
    <row r="41" spans="3:41" s="103" customFormat="1" ht="15" thickBot="1" x14ac:dyDescent="0.4">
      <c r="C41" s="311" t="s">
        <v>32</v>
      </c>
      <c r="D41" s="336"/>
      <c r="E41" s="57"/>
      <c r="F41" s="58"/>
      <c r="G41" s="56"/>
      <c r="H41" s="86">
        <f>1-E40/E31</f>
        <v>0.89035087719298245</v>
      </c>
      <c r="R41" s="51"/>
      <c r="S41" s="51"/>
      <c r="T41" s="80"/>
      <c r="U41"/>
      <c r="V41"/>
      <c r="W41"/>
      <c r="X41"/>
      <c r="Y41"/>
      <c r="Z41"/>
      <c r="AA41"/>
      <c r="AB41"/>
      <c r="AC41"/>
      <c r="AD41"/>
      <c r="AE41"/>
      <c r="AF41" s="230">
        <f t="shared" si="8"/>
        <v>35</v>
      </c>
      <c r="AG41" s="270">
        <f t="shared" si="24"/>
        <v>2023</v>
      </c>
      <c r="AH41" s="231" t="s">
        <v>118</v>
      </c>
      <c r="AI41" s="312">
        <f t="shared" si="28"/>
        <v>45231</v>
      </c>
      <c r="AJ41" s="91">
        <f t="shared" si="25"/>
        <v>123582.76643990929</v>
      </c>
      <c r="AK41" s="93">
        <f t="shared" si="26"/>
        <v>114385.45227301704</v>
      </c>
      <c r="AL41" s="94">
        <f t="shared" si="27"/>
        <v>170661.91555987479</v>
      </c>
      <c r="AM41" s="102">
        <f t="shared" si="12"/>
        <v>1.4919896907216503</v>
      </c>
      <c r="AN41" s="235">
        <f t="shared" si="5"/>
        <v>0.85087719298245568</v>
      </c>
      <c r="AO41"/>
    </row>
    <row r="42" spans="3:41" s="103" customFormat="1" ht="15.5" thickTop="1" thickBot="1" x14ac:dyDescent="0.4">
      <c r="C42" s="337"/>
      <c r="D42" s="286"/>
      <c r="E42" s="286"/>
      <c r="F42" s="286"/>
      <c r="G42" s="286"/>
      <c r="H42" s="287"/>
      <c r="P42" s="106"/>
      <c r="Q42" s="51"/>
      <c r="R42" s="51"/>
      <c r="S42" s="51"/>
      <c r="T42" s="80"/>
      <c r="U42"/>
      <c r="V42"/>
      <c r="W42"/>
      <c r="X42"/>
      <c r="Y42"/>
      <c r="Z42"/>
      <c r="AA42"/>
      <c r="AB42"/>
      <c r="AC42"/>
      <c r="AD42"/>
      <c r="AE42"/>
      <c r="AF42" s="236">
        <f t="shared" si="8"/>
        <v>36</v>
      </c>
      <c r="AG42" s="272">
        <f t="shared" si="24"/>
        <v>2023</v>
      </c>
      <c r="AH42" s="237" t="s">
        <v>119</v>
      </c>
      <c r="AI42" s="313">
        <f>AI41+30</f>
        <v>45261</v>
      </c>
      <c r="AJ42" s="238">
        <f t="shared" si="25"/>
        <v>125346.43487024438</v>
      </c>
      <c r="AK42" s="239">
        <f t="shared" si="26"/>
        <v>115419.8342068835</v>
      </c>
      <c r="AL42" s="240">
        <f t="shared" si="27"/>
        <v>173097.45767795658</v>
      </c>
      <c r="AM42" s="241">
        <f t="shared" si="12"/>
        <v>1.4997202072538869</v>
      </c>
      <c r="AN42" s="242">
        <f t="shared" si="5"/>
        <v>0.84649122807017496</v>
      </c>
      <c r="AO42"/>
    </row>
    <row r="43" spans="3:41" s="103" customFormat="1" ht="15.5" thickTop="1" thickBot="1" x14ac:dyDescent="0.4">
      <c r="C43" s="288" t="s">
        <v>129</v>
      </c>
      <c r="D43" s="338"/>
      <c r="E43" s="289">
        <f>SUM(E44:E45)</f>
        <v>76719.576719576726</v>
      </c>
      <c r="F43" s="290">
        <f t="shared" ref="F43:F49" si="29">E43*$F$5</f>
        <v>7018306.8783068787</v>
      </c>
      <c r="G43" s="291" t="str">
        <f>G38</f>
        <v>Фактический</v>
      </c>
      <c r="H43" s="292">
        <f>E43/E43</f>
        <v>1</v>
      </c>
      <c r="P43" s="106"/>
      <c r="Q43" s="51"/>
      <c r="R43" s="51"/>
      <c r="S43" s="51"/>
      <c r="T43" s="80"/>
      <c r="U43"/>
      <c r="V43"/>
      <c r="W43"/>
      <c r="X43"/>
      <c r="Y43"/>
      <c r="Z43"/>
      <c r="AA43"/>
      <c r="AB43"/>
      <c r="AC43"/>
      <c r="AD43"/>
      <c r="AE43"/>
      <c r="AF43" s="230">
        <f>AF42+1</f>
        <v>37</v>
      </c>
      <c r="AG43" s="269">
        <f>AG31+1</f>
        <v>2024</v>
      </c>
      <c r="AH43" s="243" t="s">
        <v>108</v>
      </c>
      <c r="AI43" s="314">
        <f>AI42+31</f>
        <v>45292</v>
      </c>
      <c r="AJ43" s="232">
        <f>AL31</f>
        <v>146306.49437905685</v>
      </c>
      <c r="AK43" s="93">
        <f>AL43/AM43</f>
        <v>134021.96588731054</v>
      </c>
      <c r="AL43" s="233">
        <f t="shared" ref="AL43" si="30">AJ43/$L$6*$M$6</f>
        <v>202042.30176155473</v>
      </c>
      <c r="AM43" s="244">
        <f t="shared" si="12"/>
        <v>1.5075312500000009</v>
      </c>
      <c r="AN43" s="245">
        <f t="shared" si="5"/>
        <v>0.84210526315789425</v>
      </c>
      <c r="AO43"/>
    </row>
    <row r="44" spans="3:41" s="103" customFormat="1" ht="15" thickBot="1" x14ac:dyDescent="0.4">
      <c r="C44" s="43" t="s">
        <v>130</v>
      </c>
      <c r="D44" s="329"/>
      <c r="E44" s="36">
        <f>E30</f>
        <v>76719.576719576726</v>
      </c>
      <c r="F44" s="37">
        <f t="shared" si="29"/>
        <v>7018306.8783068787</v>
      </c>
      <c r="G44" s="53">
        <f>G30</f>
        <v>10</v>
      </c>
      <c r="H44" s="38">
        <f>E44/E44</f>
        <v>1</v>
      </c>
      <c r="P44" s="106"/>
      <c r="Q44" s="51"/>
      <c r="R44" s="51"/>
      <c r="S44" s="51"/>
      <c r="T44" s="80"/>
      <c r="U44"/>
      <c r="V44"/>
      <c r="W44"/>
      <c r="X44"/>
      <c r="Y44"/>
      <c r="Z44"/>
      <c r="AA44"/>
      <c r="AB44"/>
      <c r="AC44"/>
      <c r="AD44"/>
      <c r="AE44"/>
      <c r="AF44" s="230">
        <f t="shared" si="8"/>
        <v>38</v>
      </c>
      <c r="AG44" s="269">
        <f>AG43</f>
        <v>2024</v>
      </c>
      <c r="AH44" s="243" t="s">
        <v>109</v>
      </c>
      <c r="AI44" s="314">
        <f>AI43+31</f>
        <v>45323</v>
      </c>
      <c r="AJ44" s="91">
        <f>AL44/$AL$6*$AJ$6</f>
        <v>148070.16280939194</v>
      </c>
      <c r="AK44" s="93">
        <f>AL44/AM44</f>
        <v>134931.10349084303</v>
      </c>
      <c r="AL44" s="94">
        <f>AL43+($AL$19-$AL$7)/12</f>
        <v>204477.84387963652</v>
      </c>
      <c r="AM44" s="102">
        <f t="shared" si="12"/>
        <v>1.5154240837696344</v>
      </c>
      <c r="AN44" s="235">
        <f t="shared" si="5"/>
        <v>0.83771929824561353</v>
      </c>
      <c r="AO44"/>
    </row>
    <row r="45" spans="3:41" ht="15" thickBot="1" x14ac:dyDescent="0.4">
      <c r="C45" s="293" t="s">
        <v>131</v>
      </c>
      <c r="D45" s="339"/>
      <c r="E45" s="294">
        <f>E31*H37*H32</f>
        <v>0</v>
      </c>
      <c r="F45" s="295">
        <f t="shared" si="29"/>
        <v>0</v>
      </c>
      <c r="G45" s="296">
        <f>G31</f>
        <v>10</v>
      </c>
      <c r="H45" s="297">
        <f>IFERROR(E45/E45,0)</f>
        <v>0</v>
      </c>
      <c r="AF45" s="230">
        <f t="shared" si="8"/>
        <v>39</v>
      </c>
      <c r="AG45" s="270">
        <f t="shared" ref="AG45:AG54" si="31">AG44</f>
        <v>2024</v>
      </c>
      <c r="AH45" s="243" t="s">
        <v>110</v>
      </c>
      <c r="AI45" s="314">
        <f>AI44+29</f>
        <v>45352</v>
      </c>
      <c r="AJ45" s="91">
        <f t="shared" ref="AJ45:AJ54" si="32">AL45/$AL$6*$AJ$6</f>
        <v>149833.83123972703</v>
      </c>
      <c r="AK45" s="93">
        <f t="shared" ref="AK45:AK54" si="33">AL45/AM45</f>
        <v>135823.41210300525</v>
      </c>
      <c r="AL45" s="94">
        <f t="shared" ref="AL45:AL54" si="34">AL44+($AL$19-$AL$7)/12</f>
        <v>206913.38599771832</v>
      </c>
      <c r="AM45" s="102">
        <f t="shared" si="12"/>
        <v>1.523400000000001</v>
      </c>
      <c r="AN45" s="235">
        <f t="shared" si="5"/>
        <v>0.83333333333333282</v>
      </c>
    </row>
    <row r="46" spans="3:41" ht="15" thickBot="1" x14ac:dyDescent="0.4">
      <c r="C46" s="340"/>
      <c r="D46" s="298" t="s">
        <v>132</v>
      </c>
      <c r="E46" s="299">
        <f>E37*H46</f>
        <v>0</v>
      </c>
      <c r="F46" s="300">
        <f t="shared" si="29"/>
        <v>0</v>
      </c>
      <c r="G46" s="301" t="str">
        <f>G43</f>
        <v>Фактический</v>
      </c>
      <c r="H46" s="302">
        <f>H26</f>
        <v>0.4</v>
      </c>
      <c r="AF46" s="230">
        <f t="shared" si="8"/>
        <v>40</v>
      </c>
      <c r="AG46" s="270">
        <f t="shared" si="31"/>
        <v>2024</v>
      </c>
      <c r="AH46" s="243" t="s">
        <v>111</v>
      </c>
      <c r="AI46" s="314">
        <f>AI45+31</f>
        <v>45383</v>
      </c>
      <c r="AJ46" s="91">
        <f t="shared" si="32"/>
        <v>151597.49967006213</v>
      </c>
      <c r="AK46" s="93">
        <f t="shared" si="33"/>
        <v>136698.89172379716</v>
      </c>
      <c r="AL46" s="94">
        <f t="shared" si="34"/>
        <v>209348.92811580011</v>
      </c>
      <c r="AM46" s="102">
        <f t="shared" si="12"/>
        <v>1.5314603174603185</v>
      </c>
      <c r="AN46" s="235">
        <f t="shared" si="5"/>
        <v>0.8289473684210521</v>
      </c>
    </row>
    <row r="47" spans="3:41" ht="15" thickBot="1" x14ac:dyDescent="0.4">
      <c r="C47" s="340"/>
      <c r="D47" s="303" t="str">
        <f>D27</f>
        <v>"Сопутствующие" проекты (с/х, здравоохранение, культура, наука, спорт)</v>
      </c>
      <c r="E47" s="304">
        <f>E37*H47</f>
        <v>0</v>
      </c>
      <c r="F47" s="305">
        <f t="shared" si="29"/>
        <v>0</v>
      </c>
      <c r="G47" s="341" t="str">
        <f>G46</f>
        <v>Фактический</v>
      </c>
      <c r="H47" s="342">
        <f>H27</f>
        <v>0.16500000000000001</v>
      </c>
      <c r="AF47" s="230">
        <f t="shared" si="8"/>
        <v>41</v>
      </c>
      <c r="AG47" s="270">
        <f t="shared" si="31"/>
        <v>2024</v>
      </c>
      <c r="AH47" s="243" t="s">
        <v>112</v>
      </c>
      <c r="AI47" s="314">
        <f t="shared" ref="AI47:AI54" si="35">AI46+30</f>
        <v>45413</v>
      </c>
      <c r="AJ47" s="91">
        <f t="shared" si="32"/>
        <v>153361.16810039722</v>
      </c>
      <c r="AK47" s="93">
        <f t="shared" si="33"/>
        <v>137557.5423532188</v>
      </c>
      <c r="AL47" s="94">
        <f t="shared" si="34"/>
        <v>211784.4702338819</v>
      </c>
      <c r="AM47" s="102">
        <f t="shared" si="12"/>
        <v>1.5396063829787245</v>
      </c>
      <c r="AN47" s="235">
        <f t="shared" si="5"/>
        <v>0.82456140350877138</v>
      </c>
    </row>
    <row r="48" spans="3:41" ht="15" thickBot="1" x14ac:dyDescent="0.4">
      <c r="C48" s="340"/>
      <c r="D48" s="303" t="str">
        <f>D28</f>
        <v>"Сопутствующий" проект "Интернациональное Агенство Безопасности" (ISA)</v>
      </c>
      <c r="E48" s="304">
        <f>E38*H48</f>
        <v>0</v>
      </c>
      <c r="F48" s="305">
        <f t="shared" si="29"/>
        <v>0</v>
      </c>
      <c r="G48" s="341" t="str">
        <f>G47</f>
        <v>Фактический</v>
      </c>
      <c r="H48" s="342">
        <f>H28</f>
        <v>5.0000000000000001E-3</v>
      </c>
      <c r="AF48" s="230">
        <f t="shared" si="8"/>
        <v>42</v>
      </c>
      <c r="AG48" s="273">
        <f t="shared" si="31"/>
        <v>2024</v>
      </c>
      <c r="AH48" s="243" t="s">
        <v>113</v>
      </c>
      <c r="AI48" s="314">
        <f>AI47+31</f>
        <v>45444</v>
      </c>
      <c r="AJ48" s="91">
        <f t="shared" si="32"/>
        <v>155124.83653073231</v>
      </c>
      <c r="AK48" s="93">
        <f t="shared" si="33"/>
        <v>138399.36399127016</v>
      </c>
      <c r="AL48" s="94">
        <f t="shared" si="34"/>
        <v>214220.0123519637</v>
      </c>
      <c r="AM48" s="102">
        <f t="shared" si="12"/>
        <v>1.5478395721925144</v>
      </c>
      <c r="AN48" s="235">
        <f t="shared" si="5"/>
        <v>0.82017543859649067</v>
      </c>
    </row>
    <row r="49" spans="3:40" ht="15" thickBot="1" x14ac:dyDescent="0.4">
      <c r="C49" s="343"/>
      <c r="D49" s="306" t="s">
        <v>134</v>
      </c>
      <c r="E49" s="307">
        <f>E37*H49</f>
        <v>0</v>
      </c>
      <c r="F49" s="308">
        <f t="shared" si="29"/>
        <v>0</v>
      </c>
      <c r="G49" s="309" t="str">
        <f>G47</f>
        <v>Фактический</v>
      </c>
      <c r="H49" s="310">
        <f>H29</f>
        <v>0.01</v>
      </c>
      <c r="AF49" s="230">
        <f t="shared" si="8"/>
        <v>43</v>
      </c>
      <c r="AG49" s="270">
        <f t="shared" si="31"/>
        <v>2024</v>
      </c>
      <c r="AH49" s="243" t="s">
        <v>114</v>
      </c>
      <c r="AI49" s="314">
        <f t="shared" si="35"/>
        <v>45474</v>
      </c>
      <c r="AJ49" s="91">
        <f t="shared" si="32"/>
        <v>156888.5049610674</v>
      </c>
      <c r="AK49" s="93">
        <f t="shared" si="33"/>
        <v>139224.35663795122</v>
      </c>
      <c r="AL49" s="94">
        <f t="shared" si="34"/>
        <v>216655.55447004549</v>
      </c>
      <c r="AM49" s="102">
        <f t="shared" si="12"/>
        <v>1.5561612903225819</v>
      </c>
      <c r="AN49" s="235">
        <f t="shared" si="5"/>
        <v>0.81578947368420995</v>
      </c>
    </row>
    <row r="50" spans="3:40" ht="15" thickTop="1" x14ac:dyDescent="0.35">
      <c r="AF50" s="230">
        <f t="shared" si="8"/>
        <v>44</v>
      </c>
      <c r="AG50" s="270">
        <f t="shared" si="31"/>
        <v>2024</v>
      </c>
      <c r="AH50" s="243" t="s">
        <v>115</v>
      </c>
      <c r="AI50" s="314">
        <f>AI49+31</f>
        <v>45505</v>
      </c>
      <c r="AJ50" s="91">
        <f t="shared" si="32"/>
        <v>158652.1733914025</v>
      </c>
      <c r="AK50" s="93">
        <f t="shared" si="33"/>
        <v>140032.520293262</v>
      </c>
      <c r="AL50" s="94">
        <f t="shared" si="34"/>
        <v>219091.09658812729</v>
      </c>
      <c r="AM50" s="102">
        <f t="shared" si="12"/>
        <v>1.5645729729729743</v>
      </c>
      <c r="AN50" s="235">
        <f t="shared" si="5"/>
        <v>0.81140350877192924</v>
      </c>
    </row>
    <row r="51" spans="3:40" x14ac:dyDescent="0.35">
      <c r="AF51" s="230">
        <f t="shared" si="8"/>
        <v>45</v>
      </c>
      <c r="AG51" s="270">
        <f t="shared" si="31"/>
        <v>2024</v>
      </c>
      <c r="AH51" s="243" t="s">
        <v>116</v>
      </c>
      <c r="AI51" s="314">
        <f>AI50+31</f>
        <v>45536</v>
      </c>
      <c r="AJ51" s="91">
        <f t="shared" si="32"/>
        <v>160415.84182173759</v>
      </c>
      <c r="AK51" s="93">
        <f t="shared" si="33"/>
        <v>140823.85495720251</v>
      </c>
      <c r="AL51" s="94">
        <f t="shared" si="34"/>
        <v>221526.63870620908</v>
      </c>
      <c r="AM51" s="102">
        <f t="shared" si="12"/>
        <v>1.573076086956523</v>
      </c>
      <c r="AN51" s="235">
        <f t="shared" si="5"/>
        <v>0.80701754385964852</v>
      </c>
    </row>
    <row r="52" spans="3:40" x14ac:dyDescent="0.35">
      <c r="AF52" s="230">
        <f t="shared" si="8"/>
        <v>46</v>
      </c>
      <c r="AG52" s="270">
        <f t="shared" si="31"/>
        <v>2024</v>
      </c>
      <c r="AH52" s="243" t="s">
        <v>117</v>
      </c>
      <c r="AI52" s="314">
        <f t="shared" si="35"/>
        <v>45566</v>
      </c>
      <c r="AJ52" s="91">
        <f t="shared" si="32"/>
        <v>162179.51025207265</v>
      </c>
      <c r="AK52" s="93">
        <f t="shared" si="33"/>
        <v>141598.36062977271</v>
      </c>
      <c r="AL52" s="94">
        <f t="shared" si="34"/>
        <v>223962.18082429087</v>
      </c>
      <c r="AM52" s="102">
        <f t="shared" si="12"/>
        <v>1.5816721311475423</v>
      </c>
      <c r="AN52" s="235">
        <f t="shared" si="5"/>
        <v>0.80263157894736781</v>
      </c>
    </row>
    <row r="53" spans="3:40" x14ac:dyDescent="0.35">
      <c r="C53" s="161" t="s">
        <v>76</v>
      </c>
      <c r="D53" s="103"/>
      <c r="E53" s="103"/>
      <c r="F53" s="103"/>
      <c r="G53" s="103"/>
      <c r="H53" s="103"/>
      <c r="I53" s="128" t="s">
        <v>102</v>
      </c>
      <c r="J53" s="103"/>
      <c r="K53" s="103"/>
      <c r="L53" s="103"/>
      <c r="M53" s="103"/>
      <c r="N53" s="103"/>
      <c r="O53" s="105"/>
      <c r="P53" s="106"/>
      <c r="AF53" s="230">
        <f t="shared" si="8"/>
        <v>47</v>
      </c>
      <c r="AG53" s="270">
        <f t="shared" si="31"/>
        <v>2024</v>
      </c>
      <c r="AH53" s="243" t="s">
        <v>118</v>
      </c>
      <c r="AI53" s="314">
        <f>AI52+31</f>
        <v>45597</v>
      </c>
      <c r="AJ53" s="91">
        <f t="shared" si="32"/>
        <v>163943.17868240774</v>
      </c>
      <c r="AK53" s="93">
        <f t="shared" si="33"/>
        <v>142356.03731097266</v>
      </c>
      <c r="AL53" s="94">
        <f t="shared" si="34"/>
        <v>226397.72294237267</v>
      </c>
      <c r="AM53" s="102">
        <f t="shared" si="12"/>
        <v>1.5903626373626387</v>
      </c>
      <c r="AN53" s="235">
        <f t="shared" si="5"/>
        <v>0.79824561403508709</v>
      </c>
    </row>
    <row r="54" spans="3:40" ht="15" thickBot="1" x14ac:dyDescent="0.4">
      <c r="C54" s="162" t="s">
        <v>103</v>
      </c>
      <c r="D54" s="103"/>
      <c r="E54" s="103"/>
      <c r="F54" s="103"/>
      <c r="G54" s="103"/>
      <c r="H54" s="103"/>
      <c r="I54" s="103" t="s">
        <v>101</v>
      </c>
      <c r="J54" s="103"/>
      <c r="K54" s="103"/>
      <c r="L54" s="103"/>
      <c r="M54" s="104"/>
      <c r="N54" s="104"/>
      <c r="O54" s="105"/>
      <c r="P54" s="106"/>
      <c r="AF54" s="236">
        <f t="shared" si="8"/>
        <v>48</v>
      </c>
      <c r="AG54" s="272">
        <f t="shared" si="31"/>
        <v>2024</v>
      </c>
      <c r="AH54" s="246" t="s">
        <v>119</v>
      </c>
      <c r="AI54" s="315">
        <f t="shared" si="35"/>
        <v>45627</v>
      </c>
      <c r="AJ54" s="238">
        <f t="shared" si="32"/>
        <v>165706.84711274283</v>
      </c>
      <c r="AK54" s="239">
        <f t="shared" si="33"/>
        <v>143096.88500080231</v>
      </c>
      <c r="AL54" s="240">
        <f t="shared" si="34"/>
        <v>228833.26506045446</v>
      </c>
      <c r="AM54" s="241">
        <f t="shared" si="12"/>
        <v>1.5991491712707195</v>
      </c>
      <c r="AN54" s="242">
        <f t="shared" si="5"/>
        <v>0.79385964912280638</v>
      </c>
    </row>
    <row r="55" spans="3:40" ht="15" thickTop="1" x14ac:dyDescent="0.35">
      <c r="C55" s="193" t="s">
        <v>6</v>
      </c>
      <c r="D55" s="194" t="s">
        <v>61</v>
      </c>
      <c r="E55" s="194" t="s">
        <v>71</v>
      </c>
      <c r="F55" s="194" t="s">
        <v>62</v>
      </c>
      <c r="G55" s="195" t="s">
        <v>4</v>
      </c>
      <c r="H55" s="103"/>
      <c r="I55" s="164"/>
      <c r="J55" s="165" t="s">
        <v>79</v>
      </c>
      <c r="K55" s="166"/>
      <c r="L55" s="167" t="s">
        <v>71</v>
      </c>
      <c r="M55" s="167" t="s">
        <v>62</v>
      </c>
      <c r="N55" s="168" t="s">
        <v>4</v>
      </c>
      <c r="O55" s="105"/>
      <c r="P55" s="106"/>
      <c r="AF55" s="230">
        <f>AF54+1</f>
        <v>49</v>
      </c>
      <c r="AG55" s="269">
        <f>AG43+1</f>
        <v>2025</v>
      </c>
      <c r="AH55" s="231" t="s">
        <v>108</v>
      </c>
      <c r="AI55" s="312">
        <v>45658</v>
      </c>
      <c r="AJ55" s="232">
        <f>AL43</f>
        <v>202042.30176155473</v>
      </c>
      <c r="AK55" s="93">
        <f>AL55/AM55</f>
        <v>173510.58083625024</v>
      </c>
      <c r="AL55" s="233">
        <f t="shared" ref="AL55" si="36">AJ55/$L$6*$M$6</f>
        <v>279010.79767071852</v>
      </c>
      <c r="AM55" s="244">
        <f t="shared" si="12"/>
        <v>1.6080333333333348</v>
      </c>
      <c r="AN55" s="245">
        <f t="shared" si="5"/>
        <v>0.78947368421052566</v>
      </c>
    </row>
    <row r="56" spans="3:40" ht="15" thickBot="1" x14ac:dyDescent="0.4">
      <c r="C56" s="196" t="s">
        <v>9</v>
      </c>
      <c r="D56" s="115" t="s">
        <v>63</v>
      </c>
      <c r="E56" s="115" t="s">
        <v>72</v>
      </c>
      <c r="F56" s="115"/>
      <c r="G56" s="197"/>
      <c r="H56" s="103"/>
      <c r="I56" s="169"/>
      <c r="J56" s="131" t="s">
        <v>80</v>
      </c>
      <c r="K56" s="130"/>
      <c r="L56" s="129" t="s">
        <v>78</v>
      </c>
      <c r="M56" s="129"/>
      <c r="N56" s="170"/>
      <c r="O56" s="105"/>
      <c r="P56" s="106"/>
      <c r="AF56" s="230">
        <f t="shared" si="8"/>
        <v>50</v>
      </c>
      <c r="AG56" s="269">
        <f>AG55</f>
        <v>2025</v>
      </c>
      <c r="AH56" s="231" t="s">
        <v>109</v>
      </c>
      <c r="AI56" s="312">
        <f>AI55+31</f>
        <v>45689</v>
      </c>
      <c r="AJ56" s="91">
        <f>AL56/$AL$6*$AJ$6</f>
        <v>203805.97019188985</v>
      </c>
      <c r="AK56" s="93">
        <f>AL56/AM56</f>
        <v>174052.82789257829</v>
      </c>
      <c r="AL56" s="94">
        <f>AL55+($AL$19-$AL$7)/12</f>
        <v>281446.33978880034</v>
      </c>
      <c r="AM56" s="102">
        <f t="shared" si="12"/>
        <v>1.6170167597765377</v>
      </c>
      <c r="AN56" s="235">
        <f t="shared" si="5"/>
        <v>0.78508771929824495</v>
      </c>
    </row>
    <row r="57" spans="3:40" ht="15" thickBot="1" x14ac:dyDescent="0.4">
      <c r="C57" s="198">
        <v>1</v>
      </c>
      <c r="D57" s="107" t="s">
        <v>64</v>
      </c>
      <c r="E57" s="159">
        <f>H3</f>
        <v>2021</v>
      </c>
      <c r="F57" s="160">
        <f>E57+G57</f>
        <v>2031</v>
      </c>
      <c r="G57" s="199">
        <v>10</v>
      </c>
      <c r="H57" s="103"/>
      <c r="I57" s="171" t="s">
        <v>64</v>
      </c>
      <c r="J57" s="132"/>
      <c r="K57" s="133"/>
      <c r="L57" s="159">
        <f>E57</f>
        <v>2021</v>
      </c>
      <c r="M57" s="160">
        <f>L57+N57</f>
        <v>2031</v>
      </c>
      <c r="N57" s="172">
        <f>G57</f>
        <v>10</v>
      </c>
      <c r="O57" s="105"/>
      <c r="P57" s="106"/>
      <c r="AF57" s="230">
        <f t="shared" si="8"/>
        <v>51</v>
      </c>
      <c r="AG57" s="270">
        <f t="shared" ref="AG57:AG66" si="37">AG56</f>
        <v>2025</v>
      </c>
      <c r="AH57" s="231" t="s">
        <v>110</v>
      </c>
      <c r="AI57" s="312">
        <f>AI56+28</f>
        <v>45717</v>
      </c>
      <c r="AJ57" s="91">
        <f t="shared" ref="AJ57:AJ66" si="38">AL57/$AL$6*$AJ$6</f>
        <v>205569.63862222497</v>
      </c>
      <c r="AK57" s="93">
        <f t="shared" ref="AK57:AK66" si="39">AL57/AM57</f>
        <v>174578.24595753604</v>
      </c>
      <c r="AL57" s="94">
        <f t="shared" ref="AL57:AL66" si="40">AL56+($AL$19-$AL$7)/12</f>
        <v>283881.88190688216</v>
      </c>
      <c r="AM57" s="102">
        <f t="shared" si="12"/>
        <v>1.6261011235955072</v>
      </c>
      <c r="AN57" s="235">
        <f t="shared" si="5"/>
        <v>0.78070175438596423</v>
      </c>
    </row>
    <row r="58" spans="3:40" x14ac:dyDescent="0.35">
      <c r="C58" s="200">
        <f>C57+1</f>
        <v>2</v>
      </c>
      <c r="D58" s="108" t="s">
        <v>66</v>
      </c>
      <c r="E58" s="380">
        <f>E17</f>
        <v>50000</v>
      </c>
      <c r="F58" s="143" t="s">
        <v>89</v>
      </c>
      <c r="G58" s="177" t="s">
        <v>98</v>
      </c>
      <c r="H58" s="103"/>
      <c r="I58" s="173" t="s">
        <v>66</v>
      </c>
      <c r="J58" s="134"/>
      <c r="K58" s="135"/>
      <c r="L58" s="109">
        <f>E58</f>
        <v>50000</v>
      </c>
      <c r="M58" s="143" t="s">
        <v>89</v>
      </c>
      <c r="N58" s="174">
        <f>L58</f>
        <v>50000</v>
      </c>
      <c r="O58" s="105"/>
      <c r="P58" s="106"/>
      <c r="AF58" s="230">
        <f t="shared" si="8"/>
        <v>52</v>
      </c>
      <c r="AG58" s="270">
        <f t="shared" si="37"/>
        <v>2025</v>
      </c>
      <c r="AH58" s="231" t="s">
        <v>111</v>
      </c>
      <c r="AI58" s="312">
        <f t="shared" ref="AI58:AI65" si="41">AI57+31</f>
        <v>45748</v>
      </c>
      <c r="AJ58" s="91">
        <f t="shared" si="38"/>
        <v>207333.30705256006</v>
      </c>
      <c r="AK58" s="93">
        <f t="shared" si="39"/>
        <v>175086.83503112351</v>
      </c>
      <c r="AL58" s="94">
        <f t="shared" si="40"/>
        <v>286317.42402496398</v>
      </c>
      <c r="AM58" s="102">
        <f t="shared" si="12"/>
        <v>1.6352881355932218</v>
      </c>
      <c r="AN58" s="235">
        <f t="shared" si="5"/>
        <v>0.77631578947368352</v>
      </c>
    </row>
    <row r="59" spans="3:40" x14ac:dyDescent="0.35">
      <c r="C59" s="200">
        <f>C58+1</f>
        <v>3</v>
      </c>
      <c r="D59" s="108" t="s">
        <v>70</v>
      </c>
      <c r="E59" s="109">
        <f>E31</f>
        <v>132275.13227513229</v>
      </c>
      <c r="F59" s="143" t="s">
        <v>90</v>
      </c>
      <c r="G59" s="174">
        <f>E59</f>
        <v>132275.13227513229</v>
      </c>
      <c r="H59" s="103"/>
      <c r="I59" s="175" t="s">
        <v>81</v>
      </c>
      <c r="J59" s="153"/>
      <c r="K59" s="154"/>
      <c r="L59" s="148">
        <v>0</v>
      </c>
      <c r="M59" s="176" t="s">
        <v>90</v>
      </c>
      <c r="N59" s="177" t="s">
        <v>98</v>
      </c>
      <c r="O59" s="105"/>
      <c r="P59" s="106"/>
      <c r="AF59" s="230">
        <f t="shared" si="8"/>
        <v>53</v>
      </c>
      <c r="AG59" s="270">
        <f t="shared" si="37"/>
        <v>2025</v>
      </c>
      <c r="AH59" s="231" t="s">
        <v>112</v>
      </c>
      <c r="AI59" s="312">
        <f>AI58+30</f>
        <v>45778</v>
      </c>
      <c r="AJ59" s="91">
        <f t="shared" si="38"/>
        <v>209096.97548289516</v>
      </c>
      <c r="AK59" s="93">
        <f t="shared" si="39"/>
        <v>175578.59511334071</v>
      </c>
      <c r="AL59" s="94">
        <f t="shared" si="40"/>
        <v>288752.96614304581</v>
      </c>
      <c r="AM59" s="102">
        <f t="shared" si="12"/>
        <v>1.6445795454545471</v>
      </c>
      <c r="AN59" s="235">
        <f t="shared" si="5"/>
        <v>0.7719298245614028</v>
      </c>
    </row>
    <row r="60" spans="3:40" x14ac:dyDescent="0.35">
      <c r="C60" s="200">
        <f t="shared" ref="C60:C67" si="42">C59+1</f>
        <v>4</v>
      </c>
      <c r="D60" s="151" t="s">
        <v>21</v>
      </c>
      <c r="E60" s="148">
        <f>E32</f>
        <v>60846.56084656086</v>
      </c>
      <c r="F60" s="143" t="s">
        <v>97</v>
      </c>
      <c r="G60" s="201" t="s">
        <v>91</v>
      </c>
      <c r="H60" s="103"/>
      <c r="I60" s="175" t="s">
        <v>93</v>
      </c>
      <c r="J60" s="153"/>
      <c r="K60" s="154"/>
      <c r="L60" s="157">
        <f>L58*0</f>
        <v>0</v>
      </c>
      <c r="M60" s="143" t="s">
        <v>99</v>
      </c>
      <c r="N60" s="178" t="s">
        <v>92</v>
      </c>
      <c r="O60" s="105"/>
      <c r="P60" s="106"/>
      <c r="AF60" s="230">
        <f t="shared" si="8"/>
        <v>54</v>
      </c>
      <c r="AG60" s="273">
        <f t="shared" si="37"/>
        <v>2025</v>
      </c>
      <c r="AH60" s="231" t="s">
        <v>113</v>
      </c>
      <c r="AI60" s="312">
        <f t="shared" si="41"/>
        <v>45809</v>
      </c>
      <c r="AJ60" s="91">
        <f t="shared" si="38"/>
        <v>210860.64391323028</v>
      </c>
      <c r="AK60" s="93">
        <f t="shared" si="39"/>
        <v>176053.5262041876</v>
      </c>
      <c r="AL60" s="94">
        <f t="shared" si="40"/>
        <v>291188.50826112763</v>
      </c>
      <c r="AM60" s="102">
        <f t="shared" si="12"/>
        <v>1.6539771428571446</v>
      </c>
      <c r="AN60" s="235">
        <f t="shared" si="5"/>
        <v>0.76754385964912208</v>
      </c>
    </row>
    <row r="61" spans="3:40" x14ac:dyDescent="0.35">
      <c r="C61" s="200">
        <f t="shared" si="42"/>
        <v>5</v>
      </c>
      <c r="D61" s="149" t="s">
        <v>100</v>
      </c>
      <c r="E61" s="150">
        <f>E19*(-1)</f>
        <v>-5555.5555555555557</v>
      </c>
      <c r="F61" s="146">
        <f>H19</f>
        <v>0.1</v>
      </c>
      <c r="G61" s="202">
        <f>E61</f>
        <v>-5555.5555555555557</v>
      </c>
      <c r="H61" s="103"/>
      <c r="I61" s="179" t="s">
        <v>94</v>
      </c>
      <c r="J61" s="152"/>
      <c r="K61" s="152"/>
      <c r="L61" s="155" t="s">
        <v>95</v>
      </c>
      <c r="M61" s="156" t="s">
        <v>95</v>
      </c>
      <c r="N61" s="180" t="s">
        <v>96</v>
      </c>
      <c r="O61" s="105"/>
      <c r="P61" s="106"/>
      <c r="AF61" s="230">
        <f t="shared" si="8"/>
        <v>55</v>
      </c>
      <c r="AG61" s="270">
        <f t="shared" si="37"/>
        <v>2025</v>
      </c>
      <c r="AH61" s="231" t="s">
        <v>114</v>
      </c>
      <c r="AI61" s="312">
        <f>AI60+30</f>
        <v>45839</v>
      </c>
      <c r="AJ61" s="91">
        <f t="shared" si="38"/>
        <v>212624.3123435654</v>
      </c>
      <c r="AK61" s="93">
        <f t="shared" si="39"/>
        <v>176511.62830366421</v>
      </c>
      <c r="AL61" s="94">
        <f t="shared" si="40"/>
        <v>293624.05037920945</v>
      </c>
      <c r="AM61" s="102">
        <f t="shared" si="12"/>
        <v>1.6634827586206913</v>
      </c>
      <c r="AN61" s="235">
        <f t="shared" si="5"/>
        <v>0.76315789473684137</v>
      </c>
    </row>
    <row r="62" spans="3:40" x14ac:dyDescent="0.35">
      <c r="C62" s="200">
        <f t="shared" si="42"/>
        <v>6</v>
      </c>
      <c r="D62" s="147" t="s">
        <v>94</v>
      </c>
      <c r="E62" s="155" t="s">
        <v>95</v>
      </c>
      <c r="F62" s="156" t="s">
        <v>95</v>
      </c>
      <c r="G62" s="180" t="s">
        <v>96</v>
      </c>
      <c r="H62" s="103"/>
      <c r="I62" s="173" t="s">
        <v>84</v>
      </c>
      <c r="J62" s="134"/>
      <c r="K62" s="135"/>
      <c r="L62" s="158">
        <f>L58*M62</f>
        <v>10000</v>
      </c>
      <c r="M62" s="141">
        <v>0.2</v>
      </c>
      <c r="N62" s="174">
        <f>L58*M62</f>
        <v>10000</v>
      </c>
      <c r="O62" s="105"/>
      <c r="P62" s="106"/>
      <c r="AF62" s="230">
        <f t="shared" si="8"/>
        <v>56</v>
      </c>
      <c r="AG62" s="270">
        <f t="shared" si="37"/>
        <v>2025</v>
      </c>
      <c r="AH62" s="231" t="s">
        <v>115</v>
      </c>
      <c r="AI62" s="312">
        <f t="shared" si="41"/>
        <v>45870</v>
      </c>
      <c r="AJ62" s="91">
        <f t="shared" si="38"/>
        <v>214387.98077390052</v>
      </c>
      <c r="AK62" s="93">
        <f t="shared" si="39"/>
        <v>176952.90141177055</v>
      </c>
      <c r="AL62" s="94">
        <f t="shared" si="40"/>
        <v>296059.59249729128</v>
      </c>
      <c r="AM62" s="102">
        <f t="shared" si="12"/>
        <v>1.6730982658959554</v>
      </c>
      <c r="AN62" s="235">
        <f t="shared" si="5"/>
        <v>0.75877192982456065</v>
      </c>
    </row>
    <row r="63" spans="3:40" x14ac:dyDescent="0.35">
      <c r="C63" s="200">
        <f t="shared" si="42"/>
        <v>7</v>
      </c>
      <c r="D63" s="108" t="s">
        <v>65</v>
      </c>
      <c r="E63" s="110">
        <f>E58*F63</f>
        <v>9500</v>
      </c>
      <c r="F63" s="145">
        <v>0.19</v>
      </c>
      <c r="G63" s="174">
        <f>E58*F63</f>
        <v>9500</v>
      </c>
      <c r="H63" s="103"/>
      <c r="I63" s="181" t="s">
        <v>77</v>
      </c>
      <c r="J63" s="134"/>
      <c r="K63" s="135"/>
      <c r="L63" s="158">
        <f>M63*L58</f>
        <v>50000</v>
      </c>
      <c r="M63" s="141">
        <v>1</v>
      </c>
      <c r="N63" s="174">
        <f>L63</f>
        <v>50000</v>
      </c>
      <c r="O63" s="163" t="s">
        <v>104</v>
      </c>
      <c r="P63" s="106"/>
      <c r="AF63" s="230">
        <f t="shared" si="8"/>
        <v>57</v>
      </c>
      <c r="AG63" s="270">
        <f t="shared" si="37"/>
        <v>2025</v>
      </c>
      <c r="AH63" s="231" t="s">
        <v>116</v>
      </c>
      <c r="AI63" s="312">
        <f t="shared" si="41"/>
        <v>45901</v>
      </c>
      <c r="AJ63" s="91">
        <f t="shared" si="38"/>
        <v>216151.64920423564</v>
      </c>
      <c r="AK63" s="93">
        <f t="shared" si="39"/>
        <v>177377.34552850659</v>
      </c>
      <c r="AL63" s="94">
        <f t="shared" si="40"/>
        <v>298495.1346153731</v>
      </c>
      <c r="AM63" s="102">
        <f t="shared" si="12"/>
        <v>1.6828255813953505</v>
      </c>
      <c r="AN63" s="235">
        <f t="shared" si="5"/>
        <v>0.75438596491227994</v>
      </c>
    </row>
    <row r="64" spans="3:40" x14ac:dyDescent="0.35">
      <c r="C64" s="200">
        <f t="shared" si="42"/>
        <v>8</v>
      </c>
      <c r="D64" s="108" t="s">
        <v>85</v>
      </c>
      <c r="E64" s="110">
        <f>F64*E58</f>
        <v>2930</v>
      </c>
      <c r="F64" s="141">
        <v>5.8599999999999999E-2</v>
      </c>
      <c r="G64" s="174">
        <f>G57*E64</f>
        <v>29300</v>
      </c>
      <c r="H64" s="103"/>
      <c r="I64" s="181" t="s">
        <v>83</v>
      </c>
      <c r="J64" s="134"/>
      <c r="K64" s="135"/>
      <c r="L64" s="158">
        <f>M64*L58</f>
        <v>25000</v>
      </c>
      <c r="M64" s="140">
        <v>0.5</v>
      </c>
      <c r="N64" s="182">
        <f>L64</f>
        <v>25000</v>
      </c>
      <c r="O64" s="105"/>
      <c r="P64" s="106"/>
      <c r="AF64" s="230">
        <f t="shared" si="8"/>
        <v>58</v>
      </c>
      <c r="AG64" s="270">
        <f t="shared" si="37"/>
        <v>2025</v>
      </c>
      <c r="AH64" s="231" t="s">
        <v>117</v>
      </c>
      <c r="AI64" s="312">
        <f>AI63+30</f>
        <v>45931</v>
      </c>
      <c r="AJ64" s="91">
        <f t="shared" si="38"/>
        <v>217915.31763457076</v>
      </c>
      <c r="AK64" s="93">
        <f t="shared" si="39"/>
        <v>177784.96065387235</v>
      </c>
      <c r="AL64" s="94">
        <f t="shared" si="40"/>
        <v>300930.67673345492</v>
      </c>
      <c r="AM64" s="102">
        <f t="shared" si="12"/>
        <v>1.6926666666666685</v>
      </c>
      <c r="AN64" s="235">
        <f t="shared" si="5"/>
        <v>0.74999999999999922</v>
      </c>
    </row>
    <row r="65" spans="3:40" x14ac:dyDescent="0.35">
      <c r="C65" s="200">
        <f t="shared" si="42"/>
        <v>9</v>
      </c>
      <c r="D65" s="108" t="s">
        <v>67</v>
      </c>
      <c r="E65" s="110">
        <f>F65*E58</f>
        <v>350</v>
      </c>
      <c r="F65" s="141">
        <v>7.0000000000000001E-3</v>
      </c>
      <c r="G65" s="174">
        <f>G57*E65</f>
        <v>3500</v>
      </c>
      <c r="H65" s="103"/>
      <c r="I65" s="181" t="s">
        <v>105</v>
      </c>
      <c r="J65" s="134"/>
      <c r="K65" s="135"/>
      <c r="L65" s="109">
        <f>L58*M65</f>
        <v>2800</v>
      </c>
      <c r="M65" s="141">
        <v>5.6000000000000001E-2</v>
      </c>
      <c r="N65" s="174">
        <f>L65*N57</f>
        <v>28000</v>
      </c>
      <c r="O65" s="105"/>
      <c r="P65" s="106"/>
      <c r="AF65" s="230">
        <f t="shared" si="8"/>
        <v>59</v>
      </c>
      <c r="AG65" s="270">
        <f t="shared" si="37"/>
        <v>2025</v>
      </c>
      <c r="AH65" s="231" t="s">
        <v>118</v>
      </c>
      <c r="AI65" s="312">
        <f t="shared" si="41"/>
        <v>45962</v>
      </c>
      <c r="AJ65" s="91">
        <f t="shared" si="38"/>
        <v>219678.98606490585</v>
      </c>
      <c r="AK65" s="93">
        <f t="shared" si="39"/>
        <v>178175.74678786783</v>
      </c>
      <c r="AL65" s="94">
        <f t="shared" si="40"/>
        <v>303366.21885153675</v>
      </c>
      <c r="AM65" s="102">
        <f t="shared" si="12"/>
        <v>1.7026235294117666</v>
      </c>
      <c r="AN65" s="235">
        <f t="shared" si="5"/>
        <v>0.74561403508771851</v>
      </c>
    </row>
    <row r="66" spans="3:40" ht="15" thickBot="1" x14ac:dyDescent="0.4">
      <c r="C66" s="200">
        <f t="shared" si="42"/>
        <v>10</v>
      </c>
      <c r="D66" s="108" t="s">
        <v>68</v>
      </c>
      <c r="E66" s="110">
        <f>F66*E58</f>
        <v>2345</v>
      </c>
      <c r="F66" s="141">
        <v>4.6899999999999997E-2</v>
      </c>
      <c r="G66" s="174">
        <f>E66*G57</f>
        <v>23450</v>
      </c>
      <c r="H66" s="103"/>
      <c r="I66" s="181" t="s">
        <v>86</v>
      </c>
      <c r="J66" s="134"/>
      <c r="K66" s="135"/>
      <c r="L66" s="109">
        <f>L58*M66</f>
        <v>350</v>
      </c>
      <c r="M66" s="141">
        <v>7.0000000000000001E-3</v>
      </c>
      <c r="N66" s="174">
        <f>L66*N57</f>
        <v>3500</v>
      </c>
      <c r="O66" s="105"/>
      <c r="AF66" s="236">
        <f t="shared" si="8"/>
        <v>60</v>
      </c>
      <c r="AG66" s="272">
        <f t="shared" si="37"/>
        <v>2025</v>
      </c>
      <c r="AH66" s="237" t="s">
        <v>119</v>
      </c>
      <c r="AI66" s="313">
        <f>AI65+30</f>
        <v>45992</v>
      </c>
      <c r="AJ66" s="238">
        <f t="shared" si="38"/>
        <v>221442.65449524097</v>
      </c>
      <c r="AK66" s="239">
        <f t="shared" si="39"/>
        <v>178549.70393049301</v>
      </c>
      <c r="AL66" s="240">
        <f t="shared" si="40"/>
        <v>305801.76096961857</v>
      </c>
      <c r="AM66" s="241">
        <f t="shared" si="12"/>
        <v>1.712698224852073</v>
      </c>
      <c r="AN66" s="242">
        <f t="shared" si="5"/>
        <v>0.74122807017543779</v>
      </c>
    </row>
    <row r="67" spans="3:40" ht="15" thickBot="1" x14ac:dyDescent="0.4">
      <c r="C67" s="200">
        <f t="shared" si="42"/>
        <v>11</v>
      </c>
      <c r="D67" s="108" t="s">
        <v>69</v>
      </c>
      <c r="E67" s="111">
        <f>F67*E58</f>
        <v>235</v>
      </c>
      <c r="F67" s="142">
        <v>4.7000000000000002E-3</v>
      </c>
      <c r="G67" s="184">
        <f>G57*E67</f>
        <v>2350</v>
      </c>
      <c r="H67" s="103"/>
      <c r="I67" s="183" t="s">
        <v>87</v>
      </c>
      <c r="J67" s="136"/>
      <c r="K67" s="137"/>
      <c r="L67" s="112">
        <f>L58*M67</f>
        <v>235</v>
      </c>
      <c r="M67" s="142">
        <v>4.7000000000000002E-3</v>
      </c>
      <c r="N67" s="184">
        <f>L67*N57</f>
        <v>2350</v>
      </c>
      <c r="O67" s="105"/>
      <c r="AF67" s="230">
        <f>AF66+1</f>
        <v>61</v>
      </c>
      <c r="AG67" s="269">
        <f>AG55+1</f>
        <v>2026</v>
      </c>
      <c r="AH67" s="243" t="s">
        <v>108</v>
      </c>
      <c r="AI67" s="314">
        <f>AI66+31</f>
        <v>46023</v>
      </c>
      <c r="AJ67" s="232">
        <f>AL55</f>
        <v>279010.79767071852</v>
      </c>
      <c r="AK67" s="93">
        <f>AL67/AM67</f>
        <v>223635.85974450031</v>
      </c>
      <c r="AL67" s="233">
        <f t="shared" ref="AL67" si="43">AJ67/$L$6*$M$6</f>
        <v>385300.62535480189</v>
      </c>
      <c r="AM67" s="244">
        <f t="shared" si="12"/>
        <v>1.7228928571428592</v>
      </c>
      <c r="AN67" s="245">
        <f t="shared" si="5"/>
        <v>0.73684210526315708</v>
      </c>
    </row>
    <row r="68" spans="3:40" ht="15" thickBot="1" x14ac:dyDescent="0.4">
      <c r="C68" s="203"/>
      <c r="D68" s="113" t="s">
        <v>73</v>
      </c>
      <c r="E68" s="114"/>
      <c r="F68" s="114"/>
      <c r="G68" s="186">
        <f>SUM(G58:G67)</f>
        <v>194819.57671957673</v>
      </c>
      <c r="H68" s="103"/>
      <c r="I68" s="185" t="s">
        <v>73</v>
      </c>
      <c r="J68" s="113"/>
      <c r="K68" s="113"/>
      <c r="L68" s="138"/>
      <c r="M68" s="114"/>
      <c r="N68" s="186">
        <f>SUM(N58:N67)</f>
        <v>168850</v>
      </c>
      <c r="O68" s="105"/>
      <c r="AF68" s="230">
        <f t="shared" si="8"/>
        <v>62</v>
      </c>
      <c r="AG68" s="269">
        <f>AG67</f>
        <v>2026</v>
      </c>
      <c r="AH68" s="243" t="s">
        <v>109</v>
      </c>
      <c r="AI68" s="314">
        <f>AI67+31</f>
        <v>46054</v>
      </c>
      <c r="AJ68" s="91">
        <f>AL68/$AL$6*$AJ$6</f>
        <v>280774.46610105364</v>
      </c>
      <c r="AK68" s="93">
        <f>AL68/AM68</f>
        <v>223709.91469210666</v>
      </c>
      <c r="AL68" s="94">
        <f>AL67+($AL$19-$AL$7)/12</f>
        <v>387736.16747288371</v>
      </c>
      <c r="AM68" s="102">
        <f t="shared" si="12"/>
        <v>1.7332095808383254</v>
      </c>
      <c r="AN68" s="235">
        <f t="shared" si="5"/>
        <v>0.73245614035087636</v>
      </c>
    </row>
    <row r="69" spans="3:40" ht="15" thickBot="1" x14ac:dyDescent="0.4">
      <c r="C69" s="204"/>
      <c r="D69" s="116" t="s">
        <v>75</v>
      </c>
      <c r="E69" s="117"/>
      <c r="F69" s="118"/>
      <c r="G69" s="188">
        <f>E60*VLOOKUP($F$57,K:O,5,0)</f>
        <v>163072.1634332744</v>
      </c>
      <c r="I69" s="187" t="s">
        <v>82</v>
      </c>
      <c r="J69" s="139"/>
      <c r="K69" s="139"/>
      <c r="L69" s="117"/>
      <c r="M69" s="118"/>
      <c r="N69" s="188">
        <v>0</v>
      </c>
      <c r="AF69" s="230">
        <f t="shared" si="8"/>
        <v>63</v>
      </c>
      <c r="AG69" s="270">
        <f t="shared" ref="AG69:AG78" si="44">AG68</f>
        <v>2026</v>
      </c>
      <c r="AH69" s="243" t="s">
        <v>110</v>
      </c>
      <c r="AI69" s="314">
        <f>AI68+28</f>
        <v>46082</v>
      </c>
      <c r="AJ69" s="91">
        <f t="shared" ref="AJ69:AJ78" si="45">AL69/$AL$6*$AJ$6</f>
        <v>282538.13453138876</v>
      </c>
      <c r="AK69" s="93">
        <f t="shared" ref="AK69:AK78" si="46">AL69/AM69</f>
        <v>223767.1406483427</v>
      </c>
      <c r="AL69" s="94">
        <f t="shared" ref="AL69:AL78" si="47">AL68+($AL$19-$AL$7)/12</f>
        <v>390171.70959096553</v>
      </c>
      <c r="AM69" s="102">
        <f t="shared" si="12"/>
        <v>1.7436506024096408</v>
      </c>
      <c r="AN69" s="235">
        <f t="shared" si="5"/>
        <v>0.72807017543859565</v>
      </c>
    </row>
    <row r="70" spans="3:40" ht="15" thickBot="1" x14ac:dyDescent="0.4">
      <c r="C70" s="205"/>
      <c r="D70" s="206" t="s">
        <v>74</v>
      </c>
      <c r="E70" s="207"/>
      <c r="F70" s="192"/>
      <c r="G70" s="275">
        <f>G68-G69</f>
        <v>31747.413286302326</v>
      </c>
      <c r="I70" s="189" t="s">
        <v>106</v>
      </c>
      <c r="J70" s="190"/>
      <c r="K70" s="190"/>
      <c r="L70" s="191"/>
      <c r="M70" s="192"/>
      <c r="N70" s="275">
        <f>N68-N69</f>
        <v>168850</v>
      </c>
      <c r="AF70" s="230">
        <f t="shared" si="8"/>
        <v>64</v>
      </c>
      <c r="AG70" s="270">
        <f t="shared" si="44"/>
        <v>2026</v>
      </c>
      <c r="AH70" s="243" t="s">
        <v>111</v>
      </c>
      <c r="AI70" s="314">
        <f>AI69+31</f>
        <v>46113</v>
      </c>
      <c r="AJ70" s="91">
        <f t="shared" si="45"/>
        <v>284301.80296172388</v>
      </c>
      <c r="AK70" s="93">
        <f t="shared" si="46"/>
        <v>223807.53761320846</v>
      </c>
      <c r="AL70" s="94">
        <f t="shared" si="47"/>
        <v>392607.25170904736</v>
      </c>
      <c r="AM70" s="102">
        <f t="shared" si="12"/>
        <v>1.7542181818181839</v>
      </c>
      <c r="AN70" s="235">
        <f t="shared" si="5"/>
        <v>0.72368421052631493</v>
      </c>
    </row>
    <row r="71" spans="3:40" ht="15.5" thickTop="1" thickBot="1" x14ac:dyDescent="0.4">
      <c r="AF71" s="230">
        <f t="shared" si="8"/>
        <v>65</v>
      </c>
      <c r="AG71" s="270">
        <f t="shared" si="44"/>
        <v>2026</v>
      </c>
      <c r="AH71" s="243" t="s">
        <v>112</v>
      </c>
      <c r="AI71" s="314">
        <f t="shared" ref="AI71:AI78" si="48">AI70+30</f>
        <v>46143</v>
      </c>
      <c r="AJ71" s="91">
        <f t="shared" si="45"/>
        <v>286065.471392059</v>
      </c>
      <c r="AK71" s="93">
        <f t="shared" si="46"/>
        <v>223831.10558670392</v>
      </c>
      <c r="AL71" s="94">
        <f t="shared" si="47"/>
        <v>395042.79382712918</v>
      </c>
      <c r="AM71" s="102">
        <f t="shared" si="12"/>
        <v>1.7649146341463438</v>
      </c>
      <c r="AN71" s="235">
        <f t="shared" si="5"/>
        <v>0.71929824561403422</v>
      </c>
    </row>
    <row r="72" spans="3:40" ht="15" thickBot="1" x14ac:dyDescent="0.4">
      <c r="I72" s="209" t="s">
        <v>88</v>
      </c>
      <c r="J72" s="210"/>
      <c r="K72" s="211"/>
      <c r="L72" s="212"/>
      <c r="M72" s="208">
        <f>N70/G70</f>
        <v>5.3185435448642258</v>
      </c>
      <c r="N72" s="144">
        <f>N70-G70</f>
        <v>137102.58671369767</v>
      </c>
      <c r="AF72" s="230">
        <f t="shared" si="8"/>
        <v>66</v>
      </c>
      <c r="AG72" s="273">
        <f t="shared" si="44"/>
        <v>2026</v>
      </c>
      <c r="AH72" s="243" t="s">
        <v>113</v>
      </c>
      <c r="AI72" s="314">
        <f>AI71+31</f>
        <v>46174</v>
      </c>
      <c r="AJ72" s="91">
        <f t="shared" si="45"/>
        <v>287829.13982239412</v>
      </c>
      <c r="AK72" s="93">
        <f t="shared" si="46"/>
        <v>223837.84456882911</v>
      </c>
      <c r="AL72" s="94">
        <f t="shared" si="47"/>
        <v>397478.335945211</v>
      </c>
      <c r="AM72" s="102">
        <f t="shared" si="12"/>
        <v>1.7757423312883458</v>
      </c>
      <c r="AN72" s="235">
        <f t="shared" ref="AN72:AN135" si="49">AN71-($P$7-$P$8)/12</f>
        <v>0.7149122807017535</v>
      </c>
    </row>
    <row r="73" spans="3:40" x14ac:dyDescent="0.35">
      <c r="AF73" s="230">
        <f t="shared" ref="AF73:AF78" si="50">AF72+1</f>
        <v>67</v>
      </c>
      <c r="AG73" s="270">
        <f t="shared" si="44"/>
        <v>2026</v>
      </c>
      <c r="AH73" s="243" t="s">
        <v>114</v>
      </c>
      <c r="AI73" s="314">
        <f t="shared" si="48"/>
        <v>46204</v>
      </c>
      <c r="AJ73" s="91">
        <f t="shared" si="45"/>
        <v>289592.80825272924</v>
      </c>
      <c r="AK73" s="93">
        <f t="shared" si="46"/>
        <v>223827.75455958399</v>
      </c>
      <c r="AL73" s="94">
        <f t="shared" si="47"/>
        <v>399913.87806329282</v>
      </c>
      <c r="AM73" s="102">
        <f t="shared" ref="AM73:AM136" si="51">$O$6/AN73</f>
        <v>1.7867037037037061</v>
      </c>
      <c r="AN73" s="235">
        <f t="shared" si="49"/>
        <v>0.71052631578947278</v>
      </c>
    </row>
    <row r="74" spans="3:40" x14ac:dyDescent="0.35">
      <c r="AF74" s="230">
        <f t="shared" si="50"/>
        <v>68</v>
      </c>
      <c r="AG74" s="270">
        <f t="shared" si="44"/>
        <v>2026</v>
      </c>
      <c r="AH74" s="243" t="s">
        <v>115</v>
      </c>
      <c r="AI74" s="314">
        <f>AI73+31</f>
        <v>46235</v>
      </c>
      <c r="AJ74" s="91">
        <f t="shared" si="45"/>
        <v>291356.47668306436</v>
      </c>
      <c r="AK74" s="93">
        <f t="shared" si="46"/>
        <v>223800.83555896863</v>
      </c>
      <c r="AL74" s="94">
        <f t="shared" si="47"/>
        <v>402349.42018137465</v>
      </c>
      <c r="AM74" s="102">
        <f t="shared" si="51"/>
        <v>1.7978012422360272</v>
      </c>
      <c r="AN74" s="235">
        <f t="shared" si="49"/>
        <v>0.70614035087719207</v>
      </c>
    </row>
    <row r="75" spans="3:40" x14ac:dyDescent="0.35">
      <c r="AF75" s="230">
        <f t="shared" si="50"/>
        <v>69</v>
      </c>
      <c r="AG75" s="270">
        <f t="shared" si="44"/>
        <v>2026</v>
      </c>
      <c r="AH75" s="243" t="s">
        <v>116</v>
      </c>
      <c r="AI75" s="314">
        <f>AI74+31</f>
        <v>46266</v>
      </c>
      <c r="AJ75" s="91">
        <f t="shared" si="45"/>
        <v>293120.14511339943</v>
      </c>
      <c r="AK75" s="93">
        <f t="shared" si="46"/>
        <v>223757.08756698295</v>
      </c>
      <c r="AL75" s="94">
        <f t="shared" si="47"/>
        <v>404784.96229945647</v>
      </c>
      <c r="AM75" s="102">
        <f t="shared" si="51"/>
        <v>1.8090375000000025</v>
      </c>
      <c r="AN75" s="235">
        <f t="shared" si="49"/>
        <v>0.70175438596491135</v>
      </c>
    </row>
    <row r="76" spans="3:40" x14ac:dyDescent="0.35">
      <c r="AF76" s="230">
        <f t="shared" si="50"/>
        <v>70</v>
      </c>
      <c r="AG76" s="270">
        <f t="shared" si="44"/>
        <v>2026</v>
      </c>
      <c r="AH76" s="243" t="s">
        <v>117</v>
      </c>
      <c r="AI76" s="314">
        <f t="shared" si="48"/>
        <v>46296</v>
      </c>
      <c r="AJ76" s="91">
        <f t="shared" si="45"/>
        <v>294883.81354373455</v>
      </c>
      <c r="AK76" s="93">
        <f t="shared" si="46"/>
        <v>223696.51058362701</v>
      </c>
      <c r="AL76" s="94">
        <f t="shared" si="47"/>
        <v>407220.50441753829</v>
      </c>
      <c r="AM76" s="102">
        <f t="shared" si="51"/>
        <v>1.8204150943396251</v>
      </c>
      <c r="AN76" s="235">
        <f t="shared" si="49"/>
        <v>0.69736842105263064</v>
      </c>
    </row>
    <row r="77" spans="3:40" x14ac:dyDescent="0.35">
      <c r="AF77" s="230">
        <f t="shared" si="50"/>
        <v>71</v>
      </c>
      <c r="AG77" s="270">
        <f t="shared" si="44"/>
        <v>2026</v>
      </c>
      <c r="AH77" s="243" t="s">
        <v>118</v>
      </c>
      <c r="AI77" s="314">
        <f>AI76+31</f>
        <v>46327</v>
      </c>
      <c r="AJ77" s="91">
        <f t="shared" si="45"/>
        <v>296647.48197406961</v>
      </c>
      <c r="AK77" s="93">
        <f t="shared" si="46"/>
        <v>223619.10460890076</v>
      </c>
      <c r="AL77" s="94">
        <f t="shared" si="47"/>
        <v>409656.04653562012</v>
      </c>
      <c r="AM77" s="102">
        <f t="shared" si="51"/>
        <v>1.8319367088607621</v>
      </c>
      <c r="AN77" s="235">
        <f t="shared" si="49"/>
        <v>0.69298245614034992</v>
      </c>
    </row>
    <row r="78" spans="3:40" ht="15" thickBot="1" x14ac:dyDescent="0.4">
      <c r="AF78" s="236">
        <f t="shared" si="50"/>
        <v>72</v>
      </c>
      <c r="AG78" s="272">
        <f t="shared" si="44"/>
        <v>2026</v>
      </c>
      <c r="AH78" s="246" t="s">
        <v>119</v>
      </c>
      <c r="AI78" s="315">
        <f t="shared" si="48"/>
        <v>46357</v>
      </c>
      <c r="AJ78" s="238">
        <f t="shared" si="45"/>
        <v>298411.15040440473</v>
      </c>
      <c r="AK78" s="239">
        <f t="shared" si="46"/>
        <v>223524.8696428042</v>
      </c>
      <c r="AL78" s="240">
        <f t="shared" si="47"/>
        <v>412091.58865370194</v>
      </c>
      <c r="AM78" s="241">
        <f t="shared" si="51"/>
        <v>1.8436050955414041</v>
      </c>
      <c r="AN78" s="242">
        <f t="shared" si="49"/>
        <v>0.68859649122806921</v>
      </c>
    </row>
    <row r="79" spans="3:40" x14ac:dyDescent="0.35">
      <c r="AF79" s="230">
        <f>AF78+1</f>
        <v>73</v>
      </c>
      <c r="AG79" s="269">
        <f>AG67+1</f>
        <v>2027</v>
      </c>
      <c r="AH79" s="231" t="s">
        <v>108</v>
      </c>
      <c r="AI79" s="312">
        <v>46388</v>
      </c>
      <c r="AJ79" s="232">
        <f>AL67</f>
        <v>385300.62535480189</v>
      </c>
      <c r="AK79" s="93">
        <f>AL79/AM79</f>
        <v>286771.15348189324</v>
      </c>
      <c r="AL79" s="233">
        <f t="shared" ref="AL79" si="52">AJ79/$L$6*$M$6</f>
        <v>532081.81596615515</v>
      </c>
      <c r="AM79" s="244">
        <f t="shared" si="51"/>
        <v>1.8554230769230797</v>
      </c>
      <c r="AN79" s="245">
        <f t="shared" si="49"/>
        <v>0.68421052631578849</v>
      </c>
    </row>
    <row r="80" spans="3:40" x14ac:dyDescent="0.35">
      <c r="AF80" s="230">
        <f t="shared" ref="AF80:AF90" si="53">AF79+1</f>
        <v>74</v>
      </c>
      <c r="AG80" s="269">
        <f>AG79</f>
        <v>2027</v>
      </c>
      <c r="AH80" s="231" t="s">
        <v>109</v>
      </c>
      <c r="AI80" s="312">
        <f>AI79+31</f>
        <v>46419</v>
      </c>
      <c r="AJ80" s="91">
        <f>AL80/$AL$6*$AJ$6</f>
        <v>387064.29378513701</v>
      </c>
      <c r="AK80" s="93">
        <f>AL80/AM80</f>
        <v>286237.12368820643</v>
      </c>
      <c r="AL80" s="94">
        <f>AL79+($AL$19-$AL$7)/12</f>
        <v>534517.35808423697</v>
      </c>
      <c r="AM80" s="102">
        <f t="shared" si="51"/>
        <v>1.8673935483870996</v>
      </c>
      <c r="AN80" s="235">
        <f t="shared" si="49"/>
        <v>0.67982456140350778</v>
      </c>
    </row>
    <row r="81" spans="32:40" x14ac:dyDescent="0.35">
      <c r="AF81" s="230">
        <f t="shared" si="53"/>
        <v>75</v>
      </c>
      <c r="AG81" s="270">
        <f t="shared" ref="AG81:AG90" si="54">AG80</f>
        <v>2027</v>
      </c>
      <c r="AH81" s="231" t="s">
        <v>110</v>
      </c>
      <c r="AI81" s="312">
        <f>AI80+28</f>
        <v>46447</v>
      </c>
      <c r="AJ81" s="91">
        <f t="shared" ref="AJ81:AJ90" si="55">AL81/$AL$6*$AJ$6</f>
        <v>388827.96221547213</v>
      </c>
      <c r="AK81" s="93">
        <f t="shared" ref="AK81:AK90" si="56">AL81/AM81</f>
        <v>285686.26490314933</v>
      </c>
      <c r="AL81" s="94">
        <f t="shared" ref="AL81:AL90" si="57">AL80+($AL$19-$AL$7)/12</f>
        <v>536952.90020231879</v>
      </c>
      <c r="AM81" s="102">
        <f t="shared" si="51"/>
        <v>1.8795194805194835</v>
      </c>
      <c r="AN81" s="235">
        <f t="shared" si="49"/>
        <v>0.67543859649122706</v>
      </c>
    </row>
    <row r="82" spans="32:40" x14ac:dyDescent="0.35">
      <c r="AF82" s="230">
        <f t="shared" si="53"/>
        <v>76</v>
      </c>
      <c r="AG82" s="270">
        <f t="shared" si="54"/>
        <v>2027</v>
      </c>
      <c r="AH82" s="231" t="s">
        <v>111</v>
      </c>
      <c r="AI82" s="312">
        <f t="shared" ref="AI82:AI89" si="58">AI81+31</f>
        <v>46478</v>
      </c>
      <c r="AJ82" s="91">
        <f t="shared" si="55"/>
        <v>390591.63064580725</v>
      </c>
      <c r="AK82" s="93">
        <f t="shared" si="56"/>
        <v>285118.57712672197</v>
      </c>
      <c r="AL82" s="94">
        <f t="shared" si="57"/>
        <v>539388.44232040062</v>
      </c>
      <c r="AM82" s="102">
        <f t="shared" si="51"/>
        <v>1.8918039215686304</v>
      </c>
      <c r="AN82" s="235">
        <f t="shared" si="49"/>
        <v>0.67105263157894635</v>
      </c>
    </row>
    <row r="83" spans="32:40" x14ac:dyDescent="0.35">
      <c r="AF83" s="230">
        <f t="shared" si="53"/>
        <v>77</v>
      </c>
      <c r="AG83" s="270">
        <f t="shared" si="54"/>
        <v>2027</v>
      </c>
      <c r="AH83" s="231" t="s">
        <v>112</v>
      </c>
      <c r="AI83" s="312">
        <f>AI82+30</f>
        <v>46508</v>
      </c>
      <c r="AJ83" s="91">
        <f t="shared" si="55"/>
        <v>392355.29907614237</v>
      </c>
      <c r="AK83" s="93">
        <f t="shared" si="56"/>
        <v>284534.06035892427</v>
      </c>
      <c r="AL83" s="94">
        <f t="shared" si="57"/>
        <v>541823.98443848244</v>
      </c>
      <c r="AM83" s="102">
        <f t="shared" si="51"/>
        <v>1.9042500000000031</v>
      </c>
      <c r="AN83" s="235">
        <f t="shared" si="49"/>
        <v>0.66666666666666563</v>
      </c>
    </row>
    <row r="84" spans="32:40" x14ac:dyDescent="0.35">
      <c r="AF84" s="230">
        <f t="shared" si="53"/>
        <v>78</v>
      </c>
      <c r="AG84" s="273">
        <f t="shared" si="54"/>
        <v>2027</v>
      </c>
      <c r="AH84" s="231" t="s">
        <v>113</v>
      </c>
      <c r="AI84" s="312">
        <f t="shared" si="58"/>
        <v>46539</v>
      </c>
      <c r="AJ84" s="91">
        <f t="shared" si="55"/>
        <v>394118.96750647749</v>
      </c>
      <c r="AK84" s="93">
        <f t="shared" si="56"/>
        <v>283932.71459975635</v>
      </c>
      <c r="AL84" s="94">
        <f t="shared" si="57"/>
        <v>544259.52655656426</v>
      </c>
      <c r="AM84" s="102">
        <f t="shared" si="51"/>
        <v>1.9168609271523209</v>
      </c>
      <c r="AN84" s="235">
        <f t="shared" si="49"/>
        <v>0.66228070175438492</v>
      </c>
    </row>
    <row r="85" spans="32:40" x14ac:dyDescent="0.35">
      <c r="AF85" s="230">
        <f t="shared" si="53"/>
        <v>79</v>
      </c>
      <c r="AG85" s="270">
        <f t="shared" si="54"/>
        <v>2027</v>
      </c>
      <c r="AH85" s="231" t="s">
        <v>114</v>
      </c>
      <c r="AI85" s="312">
        <f>AI84+30</f>
        <v>46569</v>
      </c>
      <c r="AJ85" s="91">
        <f t="shared" si="55"/>
        <v>395882.63593681261</v>
      </c>
      <c r="AK85" s="93">
        <f t="shared" si="56"/>
        <v>283314.5398492181</v>
      </c>
      <c r="AL85" s="94">
        <f t="shared" si="57"/>
        <v>546695.06867464609</v>
      </c>
      <c r="AM85" s="102">
        <f t="shared" si="51"/>
        <v>1.9296400000000031</v>
      </c>
      <c r="AN85" s="235">
        <f t="shared" si="49"/>
        <v>0.6578947368421042</v>
      </c>
    </row>
    <row r="86" spans="32:40" x14ac:dyDescent="0.35">
      <c r="AF86" s="230">
        <f t="shared" si="53"/>
        <v>80</v>
      </c>
      <c r="AG86" s="270">
        <f t="shared" si="54"/>
        <v>2027</v>
      </c>
      <c r="AH86" s="231" t="s">
        <v>115</v>
      </c>
      <c r="AI86" s="312">
        <f t="shared" si="58"/>
        <v>46600</v>
      </c>
      <c r="AJ86" s="91">
        <f t="shared" si="55"/>
        <v>397646.30436714768</v>
      </c>
      <c r="AK86" s="93">
        <f t="shared" si="56"/>
        <v>282679.53610730951</v>
      </c>
      <c r="AL86" s="94">
        <f t="shared" si="57"/>
        <v>549130.61079272791</v>
      </c>
      <c r="AM86" s="102">
        <f t="shared" si="51"/>
        <v>1.942590604026849</v>
      </c>
      <c r="AN86" s="235">
        <f t="shared" si="49"/>
        <v>0.65350877192982348</v>
      </c>
    </row>
    <row r="87" spans="32:40" x14ac:dyDescent="0.35">
      <c r="AF87" s="230">
        <f t="shared" si="53"/>
        <v>81</v>
      </c>
      <c r="AG87" s="270">
        <f t="shared" si="54"/>
        <v>2027</v>
      </c>
      <c r="AH87" s="231" t="s">
        <v>116</v>
      </c>
      <c r="AI87" s="312">
        <f t="shared" si="58"/>
        <v>46631</v>
      </c>
      <c r="AJ87" s="91">
        <f t="shared" si="55"/>
        <v>399409.9727974828</v>
      </c>
      <c r="AK87" s="93">
        <f t="shared" si="56"/>
        <v>282027.70337403071</v>
      </c>
      <c r="AL87" s="94">
        <f t="shared" si="57"/>
        <v>551566.15291080973</v>
      </c>
      <c r="AM87" s="102">
        <f t="shared" si="51"/>
        <v>1.9557162162162196</v>
      </c>
      <c r="AN87" s="235">
        <f t="shared" si="49"/>
        <v>0.64912280701754277</v>
      </c>
    </row>
    <row r="88" spans="32:40" x14ac:dyDescent="0.35">
      <c r="AF88" s="230">
        <f t="shared" si="53"/>
        <v>82</v>
      </c>
      <c r="AG88" s="270">
        <f t="shared" si="54"/>
        <v>2027</v>
      </c>
      <c r="AH88" s="231" t="s">
        <v>117</v>
      </c>
      <c r="AI88" s="312">
        <f>AI87+30</f>
        <v>46661</v>
      </c>
      <c r="AJ88" s="91">
        <f t="shared" si="55"/>
        <v>401173.64122781786</v>
      </c>
      <c r="AK88" s="93">
        <f t="shared" si="56"/>
        <v>281359.04164938163</v>
      </c>
      <c r="AL88" s="94">
        <f t="shared" si="57"/>
        <v>554001.69502889155</v>
      </c>
      <c r="AM88" s="102">
        <f t="shared" si="51"/>
        <v>1.9690204081632687</v>
      </c>
      <c r="AN88" s="235">
        <f t="shared" si="49"/>
        <v>0.64473684210526205</v>
      </c>
    </row>
    <row r="89" spans="32:40" x14ac:dyDescent="0.35">
      <c r="AF89" s="230">
        <f t="shared" si="53"/>
        <v>83</v>
      </c>
      <c r="AG89" s="270">
        <f t="shared" si="54"/>
        <v>2027</v>
      </c>
      <c r="AH89" s="231" t="s">
        <v>118</v>
      </c>
      <c r="AI89" s="312">
        <f t="shared" si="58"/>
        <v>46692</v>
      </c>
      <c r="AJ89" s="91">
        <f t="shared" si="55"/>
        <v>402937.30965815298</v>
      </c>
      <c r="AK89" s="93">
        <f t="shared" si="56"/>
        <v>280673.55093336222</v>
      </c>
      <c r="AL89" s="94">
        <f t="shared" si="57"/>
        <v>556437.23714697338</v>
      </c>
      <c r="AM89" s="102">
        <f t="shared" si="51"/>
        <v>1.9825068493150722</v>
      </c>
      <c r="AN89" s="235">
        <f t="shared" si="49"/>
        <v>0.64035087719298134</v>
      </c>
    </row>
    <row r="90" spans="32:40" ht="15" thickBot="1" x14ac:dyDescent="0.4">
      <c r="AF90" s="236">
        <f t="shared" si="53"/>
        <v>84</v>
      </c>
      <c r="AG90" s="272">
        <f t="shared" si="54"/>
        <v>2027</v>
      </c>
      <c r="AH90" s="237" t="s">
        <v>119</v>
      </c>
      <c r="AI90" s="313">
        <f>AI89+30</f>
        <v>46722</v>
      </c>
      <c r="AJ90" s="238">
        <f t="shared" si="55"/>
        <v>404700.9780884881</v>
      </c>
      <c r="AK90" s="239">
        <f t="shared" si="56"/>
        <v>279971.23122597253</v>
      </c>
      <c r="AL90" s="240">
        <f t="shared" si="57"/>
        <v>558872.7792650552</v>
      </c>
      <c r="AM90" s="241">
        <f t="shared" si="51"/>
        <v>1.9961793103448313</v>
      </c>
      <c r="AN90" s="242">
        <f t="shared" si="49"/>
        <v>0.63596491228070062</v>
      </c>
    </row>
    <row r="91" spans="32:40" x14ac:dyDescent="0.35">
      <c r="AF91" s="230">
        <f>AF90+1</f>
        <v>85</v>
      </c>
      <c r="AG91" s="269">
        <f>AG79+1</f>
        <v>2028</v>
      </c>
      <c r="AH91" s="243" t="s">
        <v>108</v>
      </c>
      <c r="AI91" s="314">
        <f>AI90+31</f>
        <v>46753</v>
      </c>
      <c r="AJ91" s="232">
        <f>AL79</f>
        <v>532081.81596615515</v>
      </c>
      <c r="AK91" s="93">
        <f>AL91/AM91</f>
        <v>365554.43740549026</v>
      </c>
      <c r="AL91" s="233">
        <f t="shared" ref="AL91" si="59">AJ91/$L$6*$M$6</f>
        <v>734779.65061992873</v>
      </c>
      <c r="AM91" s="244">
        <f t="shared" si="51"/>
        <v>2.0100416666666705</v>
      </c>
      <c r="AN91" s="245">
        <f t="shared" si="49"/>
        <v>0.63157894736841991</v>
      </c>
    </row>
    <row r="92" spans="32:40" x14ac:dyDescent="0.35">
      <c r="AF92" s="230">
        <f t="shared" ref="AF92:AF102" si="60">AF91+1</f>
        <v>86</v>
      </c>
      <c r="AG92" s="269">
        <f>AG91</f>
        <v>2028</v>
      </c>
      <c r="AH92" s="243" t="s">
        <v>109</v>
      </c>
      <c r="AI92" s="314">
        <f>AI91+31</f>
        <v>46784</v>
      </c>
      <c r="AJ92" s="91">
        <f>AL92/$AL$6*$AJ$6</f>
        <v>533845.48439649027</v>
      </c>
      <c r="AK92" s="93">
        <f>AL92/AM92</f>
        <v>364219.13780648308</v>
      </c>
      <c r="AL92" s="94">
        <f>AL91+($AL$19-$AL$7)/12</f>
        <v>737215.19273801055</v>
      </c>
      <c r="AM92" s="102">
        <f t="shared" si="51"/>
        <v>2.024097902097906</v>
      </c>
      <c r="AN92" s="235">
        <f t="shared" si="49"/>
        <v>0.62719298245613919</v>
      </c>
    </row>
    <row r="93" spans="32:40" x14ac:dyDescent="0.35">
      <c r="AF93" s="230">
        <f t="shared" si="60"/>
        <v>87</v>
      </c>
      <c r="AG93" s="270">
        <f t="shared" ref="AG93:AG102" si="61">AG92</f>
        <v>2028</v>
      </c>
      <c r="AH93" s="243" t="s">
        <v>110</v>
      </c>
      <c r="AI93" s="314">
        <f>AI92+29</f>
        <v>46813</v>
      </c>
      <c r="AJ93" s="91">
        <f t="shared" ref="AJ93:AJ102" si="62">AL93/$AL$6*$AJ$6</f>
        <v>535609.15282682539</v>
      </c>
      <c r="AK93" s="93">
        <f t="shared" ref="AK93:AK102" si="63">AL93/AM93</f>
        <v>362867.00921610568</v>
      </c>
      <c r="AL93" s="94">
        <f t="shared" ref="AL93:AL102" si="64">AL92+($AL$19-$AL$7)/12</f>
        <v>739650.73485609237</v>
      </c>
      <c r="AM93" s="102">
        <f t="shared" si="51"/>
        <v>2.0383521126760602</v>
      </c>
      <c r="AN93" s="235">
        <f t="shared" si="49"/>
        <v>0.62280701754385848</v>
      </c>
    </row>
    <row r="94" spans="32:40" x14ac:dyDescent="0.35">
      <c r="AF94" s="230">
        <f t="shared" si="60"/>
        <v>88</v>
      </c>
      <c r="AG94" s="270">
        <f t="shared" si="61"/>
        <v>2028</v>
      </c>
      <c r="AH94" s="243" t="s">
        <v>111</v>
      </c>
      <c r="AI94" s="314">
        <f>AI93+31</f>
        <v>46844</v>
      </c>
      <c r="AJ94" s="91">
        <f t="shared" si="62"/>
        <v>537372.82125716051</v>
      </c>
      <c r="AK94" s="93">
        <f t="shared" si="63"/>
        <v>361498.05163435789</v>
      </c>
      <c r="AL94" s="94">
        <f t="shared" si="64"/>
        <v>742086.27697417419</v>
      </c>
      <c r="AM94" s="102">
        <f t="shared" si="51"/>
        <v>2.0528085106383021</v>
      </c>
      <c r="AN94" s="235">
        <f t="shared" si="49"/>
        <v>0.61842105263157776</v>
      </c>
    </row>
    <row r="95" spans="32:40" x14ac:dyDescent="0.35">
      <c r="AF95" s="230">
        <f t="shared" si="60"/>
        <v>89</v>
      </c>
      <c r="AG95" s="270">
        <f t="shared" si="61"/>
        <v>2028</v>
      </c>
      <c r="AH95" s="243" t="s">
        <v>112</v>
      </c>
      <c r="AI95" s="314">
        <f t="shared" ref="AI95:AI102" si="65">AI94+30</f>
        <v>46874</v>
      </c>
      <c r="AJ95" s="91">
        <f t="shared" si="62"/>
        <v>539136.48968749563</v>
      </c>
      <c r="AK95" s="93">
        <f t="shared" si="63"/>
        <v>360112.26506123983</v>
      </c>
      <c r="AL95" s="94">
        <f t="shared" si="64"/>
        <v>744521.81909225602</v>
      </c>
      <c r="AM95" s="102">
        <f t="shared" si="51"/>
        <v>2.0674714285714328</v>
      </c>
      <c r="AN95" s="235">
        <f t="shared" si="49"/>
        <v>0.61403508771929705</v>
      </c>
    </row>
    <row r="96" spans="32:40" x14ac:dyDescent="0.35">
      <c r="AF96" s="230">
        <f t="shared" si="60"/>
        <v>90</v>
      </c>
      <c r="AG96" s="273">
        <f t="shared" si="61"/>
        <v>2028</v>
      </c>
      <c r="AH96" s="243" t="s">
        <v>113</v>
      </c>
      <c r="AI96" s="314">
        <f>AI95+31</f>
        <v>46905</v>
      </c>
      <c r="AJ96" s="91">
        <f t="shared" si="62"/>
        <v>540900.15811783075</v>
      </c>
      <c r="AK96" s="93">
        <f t="shared" si="63"/>
        <v>358709.64949675155</v>
      </c>
      <c r="AL96" s="94">
        <f t="shared" si="64"/>
        <v>746957.36121033784</v>
      </c>
      <c r="AM96" s="102">
        <f t="shared" si="51"/>
        <v>2.0823453237410114</v>
      </c>
      <c r="AN96" s="235">
        <f t="shared" si="49"/>
        <v>0.60964912280701633</v>
      </c>
    </row>
    <row r="97" spans="32:40" x14ac:dyDescent="0.35">
      <c r="AF97" s="230">
        <f t="shared" si="60"/>
        <v>91</v>
      </c>
      <c r="AG97" s="270">
        <f t="shared" si="61"/>
        <v>2028</v>
      </c>
      <c r="AH97" s="243" t="s">
        <v>114</v>
      </c>
      <c r="AI97" s="314">
        <f t="shared" si="65"/>
        <v>46935</v>
      </c>
      <c r="AJ97" s="91">
        <f t="shared" si="62"/>
        <v>542663.82654816587</v>
      </c>
      <c r="AK97" s="93">
        <f t="shared" si="63"/>
        <v>357290.20494089299</v>
      </c>
      <c r="AL97" s="94">
        <f t="shared" si="64"/>
        <v>749392.90332841966</v>
      </c>
      <c r="AM97" s="102">
        <f t="shared" si="51"/>
        <v>2.0974347826086999</v>
      </c>
      <c r="AN97" s="235">
        <f t="shared" si="49"/>
        <v>0.60526315789473562</v>
      </c>
    </row>
    <row r="98" spans="32:40" x14ac:dyDescent="0.35">
      <c r="AF98" s="230">
        <f t="shared" si="60"/>
        <v>92</v>
      </c>
      <c r="AG98" s="270">
        <f t="shared" si="61"/>
        <v>2028</v>
      </c>
      <c r="AH98" s="243" t="s">
        <v>115</v>
      </c>
      <c r="AI98" s="314">
        <f>AI97+31</f>
        <v>46966</v>
      </c>
      <c r="AJ98" s="91">
        <f t="shared" si="62"/>
        <v>544427.494978501</v>
      </c>
      <c r="AK98" s="93">
        <f t="shared" si="63"/>
        <v>355853.93139366404</v>
      </c>
      <c r="AL98" s="94">
        <f t="shared" si="64"/>
        <v>751828.44544650149</v>
      </c>
      <c r="AM98" s="102">
        <f t="shared" si="51"/>
        <v>2.1127445255474497</v>
      </c>
      <c r="AN98" s="235">
        <f t="shared" si="49"/>
        <v>0.6008771929824549</v>
      </c>
    </row>
    <row r="99" spans="32:40" x14ac:dyDescent="0.35">
      <c r="AF99" s="230">
        <f t="shared" si="60"/>
        <v>93</v>
      </c>
      <c r="AG99" s="270">
        <f t="shared" si="61"/>
        <v>2028</v>
      </c>
      <c r="AH99" s="243" t="s">
        <v>116</v>
      </c>
      <c r="AI99" s="314">
        <f>AI98+31</f>
        <v>46997</v>
      </c>
      <c r="AJ99" s="91">
        <f t="shared" si="62"/>
        <v>546191.16340883612</v>
      </c>
      <c r="AK99" s="93">
        <f t="shared" si="63"/>
        <v>354400.82885506487</v>
      </c>
      <c r="AL99" s="94">
        <f t="shared" si="64"/>
        <v>754263.98756458331</v>
      </c>
      <c r="AM99" s="102">
        <f t="shared" si="51"/>
        <v>2.1282794117647104</v>
      </c>
      <c r="AN99" s="235">
        <f t="shared" si="49"/>
        <v>0.59649122807017418</v>
      </c>
    </row>
    <row r="100" spans="32:40" x14ac:dyDescent="0.35">
      <c r="AF100" s="230">
        <f t="shared" si="60"/>
        <v>94</v>
      </c>
      <c r="AG100" s="270">
        <f t="shared" si="61"/>
        <v>2028</v>
      </c>
      <c r="AH100" s="243" t="s">
        <v>117</v>
      </c>
      <c r="AI100" s="314">
        <f t="shared" si="65"/>
        <v>47027</v>
      </c>
      <c r="AJ100" s="91">
        <f t="shared" si="62"/>
        <v>547954.83183917124</v>
      </c>
      <c r="AK100" s="93">
        <f t="shared" si="63"/>
        <v>352930.89732509537</v>
      </c>
      <c r="AL100" s="94">
        <f t="shared" si="64"/>
        <v>756699.52968266513</v>
      </c>
      <c r="AM100" s="102">
        <f t="shared" si="51"/>
        <v>2.1440444444444493</v>
      </c>
      <c r="AN100" s="235">
        <f t="shared" si="49"/>
        <v>0.59210526315789347</v>
      </c>
    </row>
    <row r="101" spans="32:40" x14ac:dyDescent="0.35">
      <c r="AF101" s="230">
        <f t="shared" si="60"/>
        <v>95</v>
      </c>
      <c r="AG101" s="270">
        <f t="shared" si="61"/>
        <v>2028</v>
      </c>
      <c r="AH101" s="243" t="s">
        <v>118</v>
      </c>
      <c r="AI101" s="314">
        <f>AI100+31</f>
        <v>47058</v>
      </c>
      <c r="AJ101" s="91">
        <f t="shared" si="62"/>
        <v>549718.50026950624</v>
      </c>
      <c r="AK101" s="93">
        <f t="shared" si="63"/>
        <v>351444.13680375565</v>
      </c>
      <c r="AL101" s="94">
        <f t="shared" si="64"/>
        <v>759135.07180074695</v>
      </c>
      <c r="AM101" s="102">
        <f t="shared" si="51"/>
        <v>2.1600447761194079</v>
      </c>
      <c r="AN101" s="235">
        <f t="shared" si="49"/>
        <v>0.58771929824561275</v>
      </c>
    </row>
    <row r="102" spans="32:40" ht="15" thickBot="1" x14ac:dyDescent="0.4">
      <c r="AF102" s="236">
        <f t="shared" si="60"/>
        <v>96</v>
      </c>
      <c r="AG102" s="272">
        <f t="shared" si="61"/>
        <v>2028</v>
      </c>
      <c r="AH102" s="246" t="s">
        <v>119</v>
      </c>
      <c r="AI102" s="315">
        <f t="shared" si="65"/>
        <v>47088</v>
      </c>
      <c r="AJ102" s="238">
        <f t="shared" si="62"/>
        <v>551482.16869984136</v>
      </c>
      <c r="AK102" s="239">
        <f t="shared" si="63"/>
        <v>349940.54729104566</v>
      </c>
      <c r="AL102" s="240">
        <f t="shared" si="64"/>
        <v>761570.61391882878</v>
      </c>
      <c r="AM102" s="241">
        <f t="shared" si="51"/>
        <v>2.176285714285719</v>
      </c>
      <c r="AN102" s="242">
        <f t="shared" si="49"/>
        <v>0.58333333333333204</v>
      </c>
    </row>
    <row r="103" spans="32:40" x14ac:dyDescent="0.35">
      <c r="AF103" s="230">
        <f>AF102+1</f>
        <v>97</v>
      </c>
      <c r="AG103" s="269">
        <f>AG91+1</f>
        <v>2029</v>
      </c>
      <c r="AH103" s="231" t="s">
        <v>108</v>
      </c>
      <c r="AI103" s="312">
        <v>47119</v>
      </c>
      <c r="AJ103" s="232">
        <f>AL91</f>
        <v>734779.65061992873</v>
      </c>
      <c r="AK103" s="93">
        <f>AL103/AM103</f>
        <v>462745.49814425153</v>
      </c>
      <c r="AL103" s="233">
        <f t="shared" ref="AL103" si="66">AJ103/$L$6*$M$6</f>
        <v>1014695.7079989496</v>
      </c>
      <c r="AM103" s="244">
        <f t="shared" si="51"/>
        <v>2.1927727272727324</v>
      </c>
      <c r="AN103" s="245">
        <f t="shared" si="49"/>
        <v>0.57894736842105132</v>
      </c>
    </row>
    <row r="104" spans="32:40" x14ac:dyDescent="0.35">
      <c r="AF104" s="230">
        <f t="shared" ref="AF104:AF114" si="67">AF103+1</f>
        <v>98</v>
      </c>
      <c r="AG104" s="269">
        <f>AG103</f>
        <v>2029</v>
      </c>
      <c r="AH104" s="231" t="s">
        <v>109</v>
      </c>
      <c r="AI104" s="312">
        <f>AI103+31</f>
        <v>47150</v>
      </c>
      <c r="AJ104" s="91">
        <f>AL104/$AL$6*$AJ$6</f>
        <v>736543.31905026385</v>
      </c>
      <c r="AK104" s="93">
        <f>AL104/AM104</f>
        <v>460342.14936579124</v>
      </c>
      <c r="AL104" s="94">
        <f>AL103+($AL$19-$AL$7)/12</f>
        <v>1017131.2501170314</v>
      </c>
      <c r="AM104" s="102">
        <f t="shared" si="51"/>
        <v>2.2095114503816844</v>
      </c>
      <c r="AN104" s="235">
        <f t="shared" si="49"/>
        <v>0.57456140350877061</v>
      </c>
    </row>
    <row r="105" spans="32:40" x14ac:dyDescent="0.35">
      <c r="AF105" s="230">
        <f t="shared" si="67"/>
        <v>99</v>
      </c>
      <c r="AG105" s="270">
        <f t="shared" ref="AG105:AG114" si="68">AG104</f>
        <v>2029</v>
      </c>
      <c r="AH105" s="231" t="s">
        <v>110</v>
      </c>
      <c r="AI105" s="312">
        <f>AI104+28</f>
        <v>47178</v>
      </c>
      <c r="AJ105" s="91">
        <f t="shared" ref="AJ105:AJ114" si="69">AL105/$AL$6*$AJ$6</f>
        <v>738306.98748059897</v>
      </c>
      <c r="AK105" s="93">
        <f t="shared" ref="AK105:AK114" si="70">AL105/AM105</f>
        <v>457921.97159596055</v>
      </c>
      <c r="AL105" s="94">
        <f t="shared" ref="AL105:AL114" si="71">AL104+($AL$19-$AL$7)/12</f>
        <v>1019566.7922351132</v>
      </c>
      <c r="AM105" s="102">
        <f t="shared" si="51"/>
        <v>2.2265076923076976</v>
      </c>
      <c r="AN105" s="235">
        <f t="shared" si="49"/>
        <v>0.57017543859648989</v>
      </c>
    </row>
    <row r="106" spans="32:40" x14ac:dyDescent="0.35">
      <c r="AF106" s="230">
        <f t="shared" si="67"/>
        <v>100</v>
      </c>
      <c r="AG106" s="270">
        <f t="shared" si="68"/>
        <v>2029</v>
      </c>
      <c r="AH106" s="231" t="s">
        <v>111</v>
      </c>
      <c r="AI106" s="312">
        <f t="shared" ref="AI106:AI113" si="72">AI105+31</f>
        <v>47209</v>
      </c>
      <c r="AJ106" s="91">
        <f t="shared" si="69"/>
        <v>740070.65591093409</v>
      </c>
      <c r="AK106" s="93">
        <f t="shared" si="70"/>
        <v>455484.96483475965</v>
      </c>
      <c r="AL106" s="94">
        <f t="shared" si="71"/>
        <v>1022002.334353195</v>
      </c>
      <c r="AM106" s="102">
        <f t="shared" si="51"/>
        <v>2.2437674418604705</v>
      </c>
      <c r="AN106" s="235">
        <f t="shared" si="49"/>
        <v>0.56578947368420918</v>
      </c>
    </row>
    <row r="107" spans="32:40" x14ac:dyDescent="0.35">
      <c r="AF107" s="230">
        <f t="shared" si="67"/>
        <v>101</v>
      </c>
      <c r="AG107" s="270">
        <f t="shared" si="68"/>
        <v>2029</v>
      </c>
      <c r="AH107" s="231" t="s">
        <v>112</v>
      </c>
      <c r="AI107" s="312">
        <f>AI106+30</f>
        <v>47239</v>
      </c>
      <c r="AJ107" s="91">
        <f t="shared" si="69"/>
        <v>741834.32434126921</v>
      </c>
      <c r="AK107" s="93">
        <f t="shared" si="70"/>
        <v>453031.12908218848</v>
      </c>
      <c r="AL107" s="94">
        <f t="shared" si="71"/>
        <v>1024437.8764712769</v>
      </c>
      <c r="AM107" s="102">
        <f t="shared" si="51"/>
        <v>2.2612968750000055</v>
      </c>
      <c r="AN107" s="235">
        <f t="shared" si="49"/>
        <v>0.56140350877192846</v>
      </c>
    </row>
    <row r="108" spans="32:40" x14ac:dyDescent="0.35">
      <c r="AF108" s="230">
        <f t="shared" si="67"/>
        <v>102</v>
      </c>
      <c r="AG108" s="273">
        <f t="shared" si="68"/>
        <v>2029</v>
      </c>
      <c r="AH108" s="231" t="s">
        <v>113</v>
      </c>
      <c r="AI108" s="312">
        <f t="shared" si="72"/>
        <v>47270</v>
      </c>
      <c r="AJ108" s="91">
        <f t="shared" si="69"/>
        <v>743597.99277160433</v>
      </c>
      <c r="AK108" s="93">
        <f t="shared" si="70"/>
        <v>450560.46433824697</v>
      </c>
      <c r="AL108" s="94">
        <f t="shared" si="71"/>
        <v>1026873.4185893587</v>
      </c>
      <c r="AM108" s="102">
        <f t="shared" si="51"/>
        <v>2.2791023622047302</v>
      </c>
      <c r="AN108" s="235">
        <f t="shared" si="49"/>
        <v>0.55701754385964775</v>
      </c>
    </row>
    <row r="109" spans="32:40" x14ac:dyDescent="0.35">
      <c r="AF109" s="230">
        <f t="shared" si="67"/>
        <v>103</v>
      </c>
      <c r="AG109" s="270">
        <f t="shared" si="68"/>
        <v>2029</v>
      </c>
      <c r="AH109" s="231" t="s">
        <v>114</v>
      </c>
      <c r="AI109" s="312">
        <f>AI108+30</f>
        <v>47300</v>
      </c>
      <c r="AJ109" s="91">
        <f t="shared" si="69"/>
        <v>745361.66120193945</v>
      </c>
      <c r="AK109" s="93">
        <f t="shared" si="70"/>
        <v>448072.97060293512</v>
      </c>
      <c r="AL109" s="94">
        <f t="shared" si="71"/>
        <v>1029308.9607074405</v>
      </c>
      <c r="AM109" s="102">
        <f t="shared" si="51"/>
        <v>2.2971904761904822</v>
      </c>
      <c r="AN109" s="235">
        <f t="shared" si="49"/>
        <v>0.55263157894736703</v>
      </c>
    </row>
    <row r="110" spans="32:40" x14ac:dyDescent="0.35">
      <c r="AF110" s="230">
        <f t="shared" si="67"/>
        <v>104</v>
      </c>
      <c r="AG110" s="270">
        <f t="shared" si="68"/>
        <v>2029</v>
      </c>
      <c r="AH110" s="231" t="s">
        <v>115</v>
      </c>
      <c r="AI110" s="312">
        <f t="shared" si="72"/>
        <v>47331</v>
      </c>
      <c r="AJ110" s="91">
        <f t="shared" si="69"/>
        <v>747125.32963227457</v>
      </c>
      <c r="AK110" s="93">
        <f t="shared" si="70"/>
        <v>445568.64787625312</v>
      </c>
      <c r="AL110" s="94">
        <f t="shared" si="71"/>
        <v>1031744.5028255223</v>
      </c>
      <c r="AM110" s="102">
        <f t="shared" si="51"/>
        <v>2.3155680000000061</v>
      </c>
      <c r="AN110" s="235">
        <f t="shared" si="49"/>
        <v>0.54824561403508631</v>
      </c>
    </row>
    <row r="111" spans="32:40" x14ac:dyDescent="0.35">
      <c r="AF111" s="230">
        <f t="shared" si="67"/>
        <v>105</v>
      </c>
      <c r="AG111" s="270">
        <f t="shared" si="68"/>
        <v>2029</v>
      </c>
      <c r="AH111" s="231" t="s">
        <v>116</v>
      </c>
      <c r="AI111" s="312">
        <f t="shared" si="72"/>
        <v>47362</v>
      </c>
      <c r="AJ111" s="91">
        <f t="shared" si="69"/>
        <v>748888.99806260969</v>
      </c>
      <c r="AK111" s="93">
        <f t="shared" si="70"/>
        <v>443047.49615820078</v>
      </c>
      <c r="AL111" s="94">
        <f t="shared" si="71"/>
        <v>1034180.0449436042</v>
      </c>
      <c r="AM111" s="102">
        <f t="shared" si="51"/>
        <v>2.334241935483877</v>
      </c>
      <c r="AN111" s="235">
        <f t="shared" si="49"/>
        <v>0.5438596491228056</v>
      </c>
    </row>
    <row r="112" spans="32:40" x14ac:dyDescent="0.35">
      <c r="AF112" s="230">
        <f t="shared" si="67"/>
        <v>106</v>
      </c>
      <c r="AG112" s="270">
        <f t="shared" si="68"/>
        <v>2029</v>
      </c>
      <c r="AH112" s="231" t="s">
        <v>117</v>
      </c>
      <c r="AI112" s="312">
        <f>AI111+30</f>
        <v>47392</v>
      </c>
      <c r="AJ112" s="91">
        <f t="shared" si="69"/>
        <v>750652.66649294482</v>
      </c>
      <c r="AK112" s="93">
        <f t="shared" si="70"/>
        <v>440509.51544877811</v>
      </c>
      <c r="AL112" s="94">
        <f t="shared" si="71"/>
        <v>1036615.587061686</v>
      </c>
      <c r="AM112" s="102">
        <f t="shared" si="51"/>
        <v>2.3532195121951283</v>
      </c>
      <c r="AN112" s="235">
        <f t="shared" si="49"/>
        <v>0.53947368421052488</v>
      </c>
    </row>
    <row r="113" spans="32:40" x14ac:dyDescent="0.35">
      <c r="AF113" s="230">
        <f t="shared" si="67"/>
        <v>107</v>
      </c>
      <c r="AG113" s="270">
        <f t="shared" si="68"/>
        <v>2029</v>
      </c>
      <c r="AH113" s="231" t="s">
        <v>118</v>
      </c>
      <c r="AI113" s="312">
        <f t="shared" si="72"/>
        <v>47423</v>
      </c>
      <c r="AJ113" s="91">
        <f t="shared" si="69"/>
        <v>752416.33492327994</v>
      </c>
      <c r="AK113" s="93">
        <f t="shared" si="70"/>
        <v>437954.70574798516</v>
      </c>
      <c r="AL113" s="94">
        <f t="shared" si="71"/>
        <v>1039051.1291797678</v>
      </c>
      <c r="AM113" s="102">
        <f t="shared" si="51"/>
        <v>2.3725081967213182</v>
      </c>
      <c r="AN113" s="235">
        <f t="shared" si="49"/>
        <v>0.53508771929824417</v>
      </c>
    </row>
    <row r="114" spans="32:40" ht="15" thickBot="1" x14ac:dyDescent="0.4">
      <c r="AF114" s="236">
        <f t="shared" si="67"/>
        <v>108</v>
      </c>
      <c r="AG114" s="272">
        <f t="shared" si="68"/>
        <v>2029</v>
      </c>
      <c r="AH114" s="237" t="s">
        <v>119</v>
      </c>
      <c r="AI114" s="313">
        <f>AI113+30</f>
        <v>47453</v>
      </c>
      <c r="AJ114" s="238">
        <f t="shared" si="69"/>
        <v>754180.00335361506</v>
      </c>
      <c r="AK114" s="239">
        <f t="shared" si="70"/>
        <v>435383.067055822</v>
      </c>
      <c r="AL114" s="240">
        <f t="shared" si="71"/>
        <v>1041486.6712978496</v>
      </c>
      <c r="AM114" s="241">
        <f t="shared" si="51"/>
        <v>2.3921157024793454</v>
      </c>
      <c r="AN114" s="242">
        <f t="shared" si="49"/>
        <v>0.53070175438596345</v>
      </c>
    </row>
    <row r="115" spans="32:40" x14ac:dyDescent="0.35">
      <c r="AF115" s="230">
        <f>AF114+1</f>
        <v>109</v>
      </c>
      <c r="AG115" s="269">
        <f>AG103+1</f>
        <v>2030</v>
      </c>
      <c r="AH115" s="243" t="s">
        <v>108</v>
      </c>
      <c r="AI115" s="314">
        <f>AI114+31</f>
        <v>47484</v>
      </c>
      <c r="AJ115" s="232">
        <f>AL103</f>
        <v>1014695.7079989496</v>
      </c>
      <c r="AK115" s="93">
        <f>AL115/AM115</f>
        <v>580935.90676118154</v>
      </c>
      <c r="AL115" s="233">
        <f t="shared" ref="AL115" si="73">AJ115/$L$6*$M$6</f>
        <v>1401246.4539033119</v>
      </c>
      <c r="AM115" s="244">
        <f t="shared" si="51"/>
        <v>2.4120500000000069</v>
      </c>
      <c r="AN115" s="245">
        <f t="shared" si="49"/>
        <v>0.52631578947368274</v>
      </c>
    </row>
    <row r="116" spans="32:40" x14ac:dyDescent="0.35">
      <c r="AF116" s="230">
        <f t="shared" ref="AF116:AF126" si="74">AF115+1</f>
        <v>110</v>
      </c>
      <c r="AG116" s="269">
        <f>AG115</f>
        <v>2030</v>
      </c>
      <c r="AH116" s="243" t="s">
        <v>109</v>
      </c>
      <c r="AI116" s="314">
        <f>AI115+31</f>
        <v>47515</v>
      </c>
      <c r="AJ116" s="91">
        <f>AL116/$AL$6*$AJ$6</f>
        <v>1016459.3764292848</v>
      </c>
      <c r="AK116" s="93">
        <f>AL116/AM116</f>
        <v>577096.09919137019</v>
      </c>
      <c r="AL116" s="94">
        <f>AL115+($AL$19-$AL$7)/12</f>
        <v>1403681.9960213937</v>
      </c>
      <c r="AM116" s="102">
        <f t="shared" si="51"/>
        <v>2.4323193277310997</v>
      </c>
      <c r="AN116" s="235">
        <f t="shared" si="49"/>
        <v>0.52192982456140202</v>
      </c>
    </row>
    <row r="117" spans="32:40" x14ac:dyDescent="0.35">
      <c r="AF117" s="230">
        <f t="shared" si="74"/>
        <v>111</v>
      </c>
      <c r="AG117" s="270">
        <f t="shared" ref="AG117:AG126" si="75">AG116</f>
        <v>2030</v>
      </c>
      <c r="AH117" s="243" t="s">
        <v>110</v>
      </c>
      <c r="AI117" s="314">
        <f>AI116+28</f>
        <v>47543</v>
      </c>
      <c r="AJ117" s="91">
        <f t="shared" ref="AJ117:AJ126" si="76">AL117/$AL$6*$AJ$6</f>
        <v>1018223.0448596198</v>
      </c>
      <c r="AK117" s="93">
        <f t="shared" ref="AK117:AK126" si="77">AL117/AM117</f>
        <v>573239.46263018867</v>
      </c>
      <c r="AL117" s="94">
        <f t="shared" ref="AL117:AL126" si="78">AL116+($AL$19-$AL$7)/12</f>
        <v>1406117.5381394755</v>
      </c>
      <c r="AM117" s="102">
        <f t="shared" si="51"/>
        <v>2.452932203389838</v>
      </c>
      <c r="AN117" s="235">
        <f t="shared" si="49"/>
        <v>0.51754385964912131</v>
      </c>
    </row>
    <row r="118" spans="32:40" x14ac:dyDescent="0.35">
      <c r="AF118" s="230">
        <f t="shared" si="74"/>
        <v>112</v>
      </c>
      <c r="AG118" s="270">
        <f t="shared" si="75"/>
        <v>2030</v>
      </c>
      <c r="AH118" s="243" t="s">
        <v>111</v>
      </c>
      <c r="AI118" s="314">
        <f>AI117+31</f>
        <v>47574</v>
      </c>
      <c r="AJ118" s="91">
        <f t="shared" si="76"/>
        <v>1019986.713289955</v>
      </c>
      <c r="AK118" s="93">
        <f t="shared" si="77"/>
        <v>569365.99707763689</v>
      </c>
      <c r="AL118" s="94">
        <f t="shared" si="78"/>
        <v>1408553.0802575573</v>
      </c>
      <c r="AM118" s="102">
        <f t="shared" si="51"/>
        <v>2.4738974358974435</v>
      </c>
      <c r="AN118" s="235">
        <f t="shared" si="49"/>
        <v>0.51315789473684059</v>
      </c>
    </row>
    <row r="119" spans="32:40" x14ac:dyDescent="0.35">
      <c r="AF119" s="230">
        <f t="shared" si="74"/>
        <v>113</v>
      </c>
      <c r="AG119" s="270">
        <f t="shared" si="75"/>
        <v>2030</v>
      </c>
      <c r="AH119" s="243" t="s">
        <v>112</v>
      </c>
      <c r="AI119" s="314">
        <f t="shared" ref="AI119:AI126" si="79">AI118+30</f>
        <v>47604</v>
      </c>
      <c r="AJ119" s="91">
        <f t="shared" si="76"/>
        <v>1021750.3817202901</v>
      </c>
      <c r="AK119" s="93">
        <f t="shared" si="77"/>
        <v>565475.70253371494</v>
      </c>
      <c r="AL119" s="94">
        <f t="shared" si="78"/>
        <v>1410988.6223756392</v>
      </c>
      <c r="AM119" s="102">
        <f t="shared" si="51"/>
        <v>2.495224137931042</v>
      </c>
      <c r="AN119" s="235">
        <f t="shared" si="49"/>
        <v>0.50877192982455988</v>
      </c>
    </row>
    <row r="120" spans="32:40" x14ac:dyDescent="0.35">
      <c r="AF120" s="230">
        <f t="shared" si="74"/>
        <v>114</v>
      </c>
      <c r="AG120" s="273">
        <f t="shared" si="75"/>
        <v>2030</v>
      </c>
      <c r="AH120" s="243" t="s">
        <v>113</v>
      </c>
      <c r="AI120" s="314">
        <f>AI119+31</f>
        <v>47635</v>
      </c>
      <c r="AJ120" s="91">
        <f t="shared" si="76"/>
        <v>1023514.0501506253</v>
      </c>
      <c r="AK120" s="93">
        <f t="shared" si="77"/>
        <v>561568.57899842248</v>
      </c>
      <c r="AL120" s="94">
        <f t="shared" si="78"/>
        <v>1413424.164493721</v>
      </c>
      <c r="AM120" s="102">
        <f t="shared" si="51"/>
        <v>2.5169217391304426</v>
      </c>
      <c r="AN120" s="235">
        <f t="shared" si="49"/>
        <v>0.50438596491227916</v>
      </c>
    </row>
    <row r="121" spans="32:40" x14ac:dyDescent="0.35">
      <c r="AF121" s="230">
        <f t="shared" si="74"/>
        <v>115</v>
      </c>
      <c r="AG121" s="270">
        <f t="shared" si="75"/>
        <v>2030</v>
      </c>
      <c r="AH121" s="243" t="s">
        <v>114</v>
      </c>
      <c r="AI121" s="314">
        <f t="shared" si="79"/>
        <v>47665</v>
      </c>
      <c r="AJ121" s="91">
        <f t="shared" si="76"/>
        <v>1025277.7185809603</v>
      </c>
      <c r="AK121" s="93">
        <f t="shared" si="77"/>
        <v>557644.62647175987</v>
      </c>
      <c r="AL121" s="94">
        <f t="shared" si="78"/>
        <v>1415859.7066118028</v>
      </c>
      <c r="AM121" s="102">
        <f t="shared" si="51"/>
        <v>2.5390000000000081</v>
      </c>
      <c r="AN121" s="235">
        <f t="shared" si="49"/>
        <v>0.49999999999999845</v>
      </c>
    </row>
    <row r="122" spans="32:40" x14ac:dyDescent="0.35">
      <c r="AF122" s="230">
        <f t="shared" si="74"/>
        <v>116</v>
      </c>
      <c r="AG122" s="270">
        <f t="shared" si="75"/>
        <v>2030</v>
      </c>
      <c r="AH122" s="243" t="s">
        <v>115</v>
      </c>
      <c r="AI122" s="314">
        <f>AI121+31</f>
        <v>47696</v>
      </c>
      <c r="AJ122" s="91">
        <f t="shared" si="76"/>
        <v>1027041.3870112955</v>
      </c>
      <c r="AK122" s="93">
        <f t="shared" si="77"/>
        <v>553703.84495372698</v>
      </c>
      <c r="AL122" s="94">
        <f t="shared" si="78"/>
        <v>1418295.2487298846</v>
      </c>
      <c r="AM122" s="102">
        <f t="shared" si="51"/>
        <v>2.5614690265486808</v>
      </c>
      <c r="AN122" s="235">
        <f t="shared" si="49"/>
        <v>0.49561403508771773</v>
      </c>
    </row>
    <row r="123" spans="32:40" x14ac:dyDescent="0.35">
      <c r="AF123" s="230">
        <f t="shared" si="74"/>
        <v>117</v>
      </c>
      <c r="AG123" s="270">
        <f t="shared" si="75"/>
        <v>2030</v>
      </c>
      <c r="AH123" s="243" t="s">
        <v>116</v>
      </c>
      <c r="AI123" s="314">
        <f>AI122+31</f>
        <v>47727</v>
      </c>
      <c r="AJ123" s="91">
        <f t="shared" si="76"/>
        <v>1028805.0554416305</v>
      </c>
      <c r="AK123" s="93">
        <f t="shared" si="77"/>
        <v>549746.23444432369</v>
      </c>
      <c r="AL123" s="94">
        <f t="shared" si="78"/>
        <v>1420730.7908479664</v>
      </c>
      <c r="AM123" s="102">
        <f t="shared" si="51"/>
        <v>2.5843392857142944</v>
      </c>
      <c r="AN123" s="235">
        <f t="shared" si="49"/>
        <v>0.49122807017543701</v>
      </c>
    </row>
    <row r="124" spans="32:40" x14ac:dyDescent="0.35">
      <c r="AF124" s="230">
        <f t="shared" si="74"/>
        <v>118</v>
      </c>
      <c r="AG124" s="270">
        <f t="shared" si="75"/>
        <v>2030</v>
      </c>
      <c r="AH124" s="243" t="s">
        <v>117</v>
      </c>
      <c r="AI124" s="314">
        <f t="shared" si="79"/>
        <v>47757</v>
      </c>
      <c r="AJ124" s="91">
        <f t="shared" si="76"/>
        <v>1030568.7238719658</v>
      </c>
      <c r="AK124" s="93">
        <f t="shared" si="77"/>
        <v>545771.79494355025</v>
      </c>
      <c r="AL124" s="94">
        <f t="shared" si="78"/>
        <v>1423166.3329660483</v>
      </c>
      <c r="AM124" s="102">
        <f t="shared" si="51"/>
        <v>2.6076216216216301</v>
      </c>
      <c r="AN124" s="235">
        <f t="shared" si="49"/>
        <v>0.4868421052631563</v>
      </c>
    </row>
    <row r="125" spans="32:40" x14ac:dyDescent="0.35">
      <c r="AF125" s="230">
        <f t="shared" si="74"/>
        <v>119</v>
      </c>
      <c r="AG125" s="270">
        <f t="shared" si="75"/>
        <v>2030</v>
      </c>
      <c r="AH125" s="243" t="s">
        <v>118</v>
      </c>
      <c r="AI125" s="314">
        <f>AI124+31</f>
        <v>47788</v>
      </c>
      <c r="AJ125" s="91">
        <f t="shared" si="76"/>
        <v>1032332.3923023008</v>
      </c>
      <c r="AK125" s="93">
        <f t="shared" si="77"/>
        <v>541780.52645140642</v>
      </c>
      <c r="AL125" s="94">
        <f t="shared" si="78"/>
        <v>1425601.8750841301</v>
      </c>
      <c r="AM125" s="102">
        <f t="shared" si="51"/>
        <v>2.6313272727272818</v>
      </c>
      <c r="AN125" s="235">
        <f t="shared" si="49"/>
        <v>0.48245614035087558</v>
      </c>
    </row>
    <row r="126" spans="32:40" ht="15" thickBot="1" x14ac:dyDescent="0.4">
      <c r="AF126" s="236">
        <f t="shared" si="74"/>
        <v>120</v>
      </c>
      <c r="AG126" s="272">
        <f t="shared" si="75"/>
        <v>2030</v>
      </c>
      <c r="AH126" s="246" t="s">
        <v>119</v>
      </c>
      <c r="AI126" s="315">
        <f t="shared" si="79"/>
        <v>47818</v>
      </c>
      <c r="AJ126" s="238">
        <f t="shared" si="76"/>
        <v>1034096.060732636</v>
      </c>
      <c r="AK126" s="239">
        <f t="shared" si="77"/>
        <v>537772.42896789231</v>
      </c>
      <c r="AL126" s="240">
        <f t="shared" si="78"/>
        <v>1428037.4172022119</v>
      </c>
      <c r="AM126" s="241">
        <f t="shared" si="51"/>
        <v>2.655467889908266</v>
      </c>
      <c r="AN126" s="242">
        <f t="shared" si="49"/>
        <v>0.47807017543859487</v>
      </c>
    </row>
    <row r="127" spans="32:40" x14ac:dyDescent="0.35">
      <c r="AF127" s="230">
        <f>AF126+1</f>
        <v>121</v>
      </c>
      <c r="AG127" s="269">
        <f>AG115+1</f>
        <v>2031</v>
      </c>
      <c r="AH127" s="231" t="s">
        <v>108</v>
      </c>
      <c r="AI127" s="312">
        <v>47849</v>
      </c>
      <c r="AJ127" s="232">
        <f>AL115</f>
        <v>1401246.4539033119</v>
      </c>
      <c r="AK127" s="93">
        <f>AL127/AM127</f>
        <v>722020.3412603254</v>
      </c>
      <c r="AL127" s="233">
        <f t="shared" ref="AL127" si="80">AJ127/$L$6*$M$6</f>
        <v>1935054.6268188599</v>
      </c>
      <c r="AM127" s="244">
        <f t="shared" si="51"/>
        <v>2.680055555555565</v>
      </c>
      <c r="AN127" s="245">
        <f t="shared" si="49"/>
        <v>0.47368421052631415</v>
      </c>
    </row>
    <row r="128" spans="32:40" x14ac:dyDescent="0.35">
      <c r="AF128" s="230">
        <f t="shared" ref="AF128:AF138" si="81">AF127+1</f>
        <v>122</v>
      </c>
      <c r="AG128" s="269">
        <f>AG127</f>
        <v>2031</v>
      </c>
      <c r="AH128" s="231" t="s">
        <v>109</v>
      </c>
      <c r="AI128" s="312">
        <f>AI127+31</f>
        <v>47880</v>
      </c>
      <c r="AJ128" s="91">
        <f>AL128/$AL$6*$AJ$6</f>
        <v>1403010.1223336472</v>
      </c>
      <c r="AK128" s="93">
        <f>AL128/AM128</f>
        <v>716235.31876844738</v>
      </c>
      <c r="AL128" s="94">
        <f>AL127+($AL$19-$AL$7)/12</f>
        <v>1937490.1689369418</v>
      </c>
      <c r="AM128" s="102">
        <f t="shared" si="51"/>
        <v>2.7051028037383276</v>
      </c>
      <c r="AN128" s="235">
        <f t="shared" si="49"/>
        <v>0.46929824561403344</v>
      </c>
    </row>
    <row r="129" spans="32:40" x14ac:dyDescent="0.35">
      <c r="AF129" s="230">
        <f t="shared" si="81"/>
        <v>123</v>
      </c>
      <c r="AG129" s="270">
        <f t="shared" ref="AG129:AG138" si="82">AG128</f>
        <v>2031</v>
      </c>
      <c r="AH129" s="231" t="s">
        <v>110</v>
      </c>
      <c r="AI129" s="312">
        <f>AI128+28</f>
        <v>47908</v>
      </c>
      <c r="AJ129" s="91">
        <f t="shared" ref="AJ129:AJ138" si="83">AL129/$AL$6*$AJ$6</f>
        <v>1404773.7907639821</v>
      </c>
      <c r="AK129" s="93">
        <f t="shared" ref="AK129:AK138" si="84">AL129/AM129</f>
        <v>710433.46728519921</v>
      </c>
      <c r="AL129" s="94">
        <f t="shared" ref="AL129:AL138" si="85">AL128+($AL$19-$AL$7)/12</f>
        <v>1939925.7110550236</v>
      </c>
      <c r="AM129" s="102">
        <f t="shared" si="51"/>
        <v>2.7306226415094437</v>
      </c>
      <c r="AN129" s="235">
        <f t="shared" si="49"/>
        <v>0.46491228070175272</v>
      </c>
    </row>
    <row r="130" spans="32:40" x14ac:dyDescent="0.35">
      <c r="AF130" s="230">
        <f t="shared" si="81"/>
        <v>124</v>
      </c>
      <c r="AG130" s="270">
        <f t="shared" si="82"/>
        <v>2031</v>
      </c>
      <c r="AH130" s="231" t="s">
        <v>111</v>
      </c>
      <c r="AI130" s="312">
        <f t="shared" ref="AI130:AI137" si="86">AI129+31</f>
        <v>47939</v>
      </c>
      <c r="AJ130" s="91">
        <f t="shared" si="83"/>
        <v>1406537.4591943175</v>
      </c>
      <c r="AK130" s="93">
        <f t="shared" si="84"/>
        <v>704614.78681058064</v>
      </c>
      <c r="AL130" s="94">
        <f t="shared" si="85"/>
        <v>1942361.2531731054</v>
      </c>
      <c r="AM130" s="102">
        <f t="shared" si="51"/>
        <v>2.7566285714285814</v>
      </c>
      <c r="AN130" s="235">
        <f t="shared" si="49"/>
        <v>0.46052631578947201</v>
      </c>
    </row>
    <row r="131" spans="32:40" x14ac:dyDescent="0.35">
      <c r="AF131" s="230">
        <f t="shared" si="81"/>
        <v>125</v>
      </c>
      <c r="AG131" s="270">
        <f t="shared" si="82"/>
        <v>2031</v>
      </c>
      <c r="AH131" s="231" t="s">
        <v>112</v>
      </c>
      <c r="AI131" s="312">
        <f>AI130+30</f>
        <v>47969</v>
      </c>
      <c r="AJ131" s="91">
        <f t="shared" si="83"/>
        <v>1408301.1276246523</v>
      </c>
      <c r="AK131" s="93">
        <f t="shared" si="84"/>
        <v>698779.2773445918</v>
      </c>
      <c r="AL131" s="94">
        <f t="shared" si="85"/>
        <v>1944796.7952911872</v>
      </c>
      <c r="AM131" s="102">
        <f t="shared" si="51"/>
        <v>2.7831346153846259</v>
      </c>
      <c r="AN131" s="235">
        <f t="shared" si="49"/>
        <v>0.45614035087719129</v>
      </c>
    </row>
    <row r="132" spans="32:40" x14ac:dyDescent="0.35">
      <c r="AF132" s="230">
        <f t="shared" si="81"/>
        <v>126</v>
      </c>
      <c r="AG132" s="273">
        <f t="shared" si="82"/>
        <v>2031</v>
      </c>
      <c r="AH132" s="231" t="s">
        <v>113</v>
      </c>
      <c r="AI132" s="312">
        <f t="shared" si="86"/>
        <v>48000</v>
      </c>
      <c r="AJ132" s="91">
        <f t="shared" si="83"/>
        <v>1410064.7960549877</v>
      </c>
      <c r="AK132" s="93">
        <f t="shared" si="84"/>
        <v>692926.93888723268</v>
      </c>
      <c r="AL132" s="94">
        <f t="shared" si="85"/>
        <v>1947232.3374092691</v>
      </c>
      <c r="AM132" s="102">
        <f t="shared" si="51"/>
        <v>2.8101553398058359</v>
      </c>
      <c r="AN132" s="235">
        <f t="shared" si="49"/>
        <v>0.45175438596491058</v>
      </c>
    </row>
    <row r="133" spans="32:40" x14ac:dyDescent="0.35">
      <c r="AF133" s="230">
        <f t="shared" si="81"/>
        <v>127</v>
      </c>
      <c r="AG133" s="270">
        <f t="shared" si="82"/>
        <v>2031</v>
      </c>
      <c r="AH133" s="231" t="s">
        <v>114</v>
      </c>
      <c r="AI133" s="312">
        <f>AI132+30</f>
        <v>48030</v>
      </c>
      <c r="AJ133" s="91">
        <f t="shared" si="83"/>
        <v>1411828.4644853226</v>
      </c>
      <c r="AK133" s="93">
        <f t="shared" si="84"/>
        <v>687057.77143850329</v>
      </c>
      <c r="AL133" s="94">
        <f t="shared" si="85"/>
        <v>1949667.8795273509</v>
      </c>
      <c r="AM133" s="102">
        <f t="shared" si="51"/>
        <v>2.8377058823529522</v>
      </c>
      <c r="AN133" s="235">
        <f t="shared" si="49"/>
        <v>0.44736842105262986</v>
      </c>
    </row>
    <row r="134" spans="32:40" x14ac:dyDescent="0.35">
      <c r="AF134" s="230">
        <f t="shared" si="81"/>
        <v>128</v>
      </c>
      <c r="AG134" s="270">
        <f t="shared" si="82"/>
        <v>2031</v>
      </c>
      <c r="AH134" s="231" t="s">
        <v>115</v>
      </c>
      <c r="AI134" s="312">
        <f t="shared" si="86"/>
        <v>48061</v>
      </c>
      <c r="AJ134" s="91">
        <f t="shared" si="83"/>
        <v>1413592.1329156579</v>
      </c>
      <c r="AK134" s="93">
        <f t="shared" si="84"/>
        <v>681171.77499840362</v>
      </c>
      <c r="AL134" s="94">
        <f t="shared" si="85"/>
        <v>1952103.4216454327</v>
      </c>
      <c r="AM134" s="102">
        <f t="shared" si="51"/>
        <v>2.865801980198031</v>
      </c>
      <c r="AN134" s="235">
        <f t="shared" si="49"/>
        <v>0.44298245614034915</v>
      </c>
    </row>
    <row r="135" spans="32:40" x14ac:dyDescent="0.35">
      <c r="AF135" s="230">
        <f t="shared" si="81"/>
        <v>129</v>
      </c>
      <c r="AG135" s="270">
        <f t="shared" si="82"/>
        <v>2031</v>
      </c>
      <c r="AH135" s="231" t="s">
        <v>116</v>
      </c>
      <c r="AI135" s="312">
        <f t="shared" si="86"/>
        <v>48092</v>
      </c>
      <c r="AJ135" s="91">
        <f t="shared" si="83"/>
        <v>1415355.8013459928</v>
      </c>
      <c r="AK135" s="93">
        <f t="shared" si="84"/>
        <v>675268.94956693368</v>
      </c>
      <c r="AL135" s="94">
        <f t="shared" si="85"/>
        <v>1954538.9637635145</v>
      </c>
      <c r="AM135" s="102">
        <f t="shared" si="51"/>
        <v>2.8944600000000116</v>
      </c>
      <c r="AN135" s="235">
        <f t="shared" si="49"/>
        <v>0.43859649122806843</v>
      </c>
    </row>
    <row r="136" spans="32:40" x14ac:dyDescent="0.35">
      <c r="AF136" s="230">
        <f t="shared" si="81"/>
        <v>130</v>
      </c>
      <c r="AG136" s="270">
        <f t="shared" si="82"/>
        <v>2031</v>
      </c>
      <c r="AH136" s="231" t="s">
        <v>117</v>
      </c>
      <c r="AI136" s="312">
        <f>AI135+30</f>
        <v>48122</v>
      </c>
      <c r="AJ136" s="91">
        <f t="shared" si="83"/>
        <v>1417119.469776328</v>
      </c>
      <c r="AK136" s="93">
        <f t="shared" si="84"/>
        <v>669349.29514409334</v>
      </c>
      <c r="AL136" s="94">
        <f t="shared" si="85"/>
        <v>1956974.5058815964</v>
      </c>
      <c r="AM136" s="102">
        <f t="shared" si="51"/>
        <v>2.9236969696969819</v>
      </c>
      <c r="AN136" s="235">
        <f t="shared" ref="AN136:AN199" si="87">AN135-($P$7-$P$8)/12</f>
        <v>0.43421052631578771</v>
      </c>
    </row>
    <row r="137" spans="32:40" x14ac:dyDescent="0.35">
      <c r="AF137" s="230">
        <f t="shared" si="81"/>
        <v>131</v>
      </c>
      <c r="AG137" s="270">
        <f t="shared" si="82"/>
        <v>2031</v>
      </c>
      <c r="AH137" s="231" t="s">
        <v>118</v>
      </c>
      <c r="AI137" s="312">
        <f t="shared" si="86"/>
        <v>48153</v>
      </c>
      <c r="AJ137" s="91">
        <f t="shared" si="83"/>
        <v>1418883.1382066631</v>
      </c>
      <c r="AK137" s="93">
        <f t="shared" si="84"/>
        <v>663412.81172988284</v>
      </c>
      <c r="AL137" s="94">
        <f t="shared" si="85"/>
        <v>1959410.0479996782</v>
      </c>
      <c r="AM137" s="102">
        <f t="shared" ref="AM137:AM200" si="88">$O$6/AN137</f>
        <v>2.9535306122449101</v>
      </c>
      <c r="AN137" s="235">
        <f t="shared" si="87"/>
        <v>0.429824561403507</v>
      </c>
    </row>
    <row r="138" spans="32:40" ht="15" thickBot="1" x14ac:dyDescent="0.4">
      <c r="AF138" s="236">
        <f t="shared" si="81"/>
        <v>132</v>
      </c>
      <c r="AG138" s="272">
        <f t="shared" si="82"/>
        <v>2031</v>
      </c>
      <c r="AH138" s="237" t="s">
        <v>119</v>
      </c>
      <c r="AI138" s="313">
        <f>AI137+30</f>
        <v>48183</v>
      </c>
      <c r="AJ138" s="238">
        <f t="shared" si="83"/>
        <v>1420646.8066369982</v>
      </c>
      <c r="AK138" s="239">
        <f t="shared" si="84"/>
        <v>657459.49932430196</v>
      </c>
      <c r="AL138" s="240">
        <f t="shared" si="85"/>
        <v>1961845.59011776</v>
      </c>
      <c r="AM138" s="241">
        <f t="shared" si="88"/>
        <v>2.9839793814433118</v>
      </c>
      <c r="AN138" s="242">
        <f t="shared" si="87"/>
        <v>0.42543859649122628</v>
      </c>
    </row>
    <row r="139" spans="32:40" x14ac:dyDescent="0.35">
      <c r="AF139" s="230">
        <f>AF138+1</f>
        <v>133</v>
      </c>
      <c r="AG139" s="269">
        <f>AG127+1</f>
        <v>2032</v>
      </c>
      <c r="AH139" s="243" t="s">
        <v>108</v>
      </c>
      <c r="AI139" s="314">
        <f>AI138+31</f>
        <v>48214</v>
      </c>
      <c r="AJ139" s="232">
        <f>AL127</f>
        <v>1935054.6268188599</v>
      </c>
      <c r="AK139" s="93">
        <f>AL139/AM139</f>
        <v>886289.51943066355</v>
      </c>
      <c r="AL139" s="233">
        <f t="shared" ref="AL139" si="89">AJ139/$L$6*$M$6</f>
        <v>2672218.2941784263</v>
      </c>
      <c r="AM139" s="244">
        <f t="shared" si="88"/>
        <v>3.0150625000000129</v>
      </c>
      <c r="AN139" s="245">
        <f t="shared" si="87"/>
        <v>0.42105263157894557</v>
      </c>
    </row>
    <row r="140" spans="32:40" x14ac:dyDescent="0.35">
      <c r="AF140" s="230">
        <f t="shared" ref="AF140:AF150" si="90">AF139+1</f>
        <v>134</v>
      </c>
      <c r="AG140" s="269">
        <f>AG139</f>
        <v>2032</v>
      </c>
      <c r="AH140" s="243" t="s">
        <v>109</v>
      </c>
      <c r="AI140" s="314">
        <f>AI139+31</f>
        <v>48245</v>
      </c>
      <c r="AJ140" s="91">
        <f>AL140/$AL$6*$AJ$6</f>
        <v>1936818.2952491948</v>
      </c>
      <c r="AK140" s="93">
        <f>AL140/AM140</f>
        <v>877856.71402668254</v>
      </c>
      <c r="AL140" s="94">
        <f>AL139+($AL$19-$AL$7)/12</f>
        <v>2674653.8362965081</v>
      </c>
      <c r="AM140" s="102">
        <f t="shared" si="88"/>
        <v>3.0468000000000135</v>
      </c>
      <c r="AN140" s="235">
        <f t="shared" si="87"/>
        <v>0.41666666666666485</v>
      </c>
    </row>
    <row r="141" spans="32:40" x14ac:dyDescent="0.35">
      <c r="AF141" s="230">
        <f t="shared" si="90"/>
        <v>135</v>
      </c>
      <c r="AG141" s="270">
        <f t="shared" ref="AG141:AG150" si="91">AG140</f>
        <v>2032</v>
      </c>
      <c r="AH141" s="243" t="s">
        <v>110</v>
      </c>
      <c r="AI141" s="314">
        <f>AI140+29</f>
        <v>48274</v>
      </c>
      <c r="AJ141" s="91">
        <f t="shared" ref="AJ141:AJ150" si="92">AL141/$AL$6*$AJ$6</f>
        <v>1938581.96367953</v>
      </c>
      <c r="AK141" s="93">
        <f t="shared" ref="AK141:AK150" si="93">AL141/AM141</f>
        <v>869407.07963133126</v>
      </c>
      <c r="AL141" s="94">
        <f t="shared" ref="AL141:AL150" si="94">AL140+($AL$19-$AL$7)/12</f>
        <v>2677089.3784145899</v>
      </c>
      <c r="AM141" s="102">
        <f t="shared" si="88"/>
        <v>3.0792127659574606</v>
      </c>
      <c r="AN141" s="235">
        <f t="shared" si="87"/>
        <v>0.41228070175438414</v>
      </c>
    </row>
    <row r="142" spans="32:40" x14ac:dyDescent="0.35">
      <c r="AF142" s="230">
        <f t="shared" si="90"/>
        <v>136</v>
      </c>
      <c r="AG142" s="270">
        <f t="shared" si="91"/>
        <v>2032</v>
      </c>
      <c r="AH142" s="243" t="s">
        <v>111</v>
      </c>
      <c r="AI142" s="314">
        <f>AI141+31</f>
        <v>48305</v>
      </c>
      <c r="AJ142" s="91">
        <f t="shared" si="92"/>
        <v>1940345.6321098653</v>
      </c>
      <c r="AK142" s="93">
        <f t="shared" si="93"/>
        <v>860940.61624460982</v>
      </c>
      <c r="AL142" s="94">
        <f t="shared" si="94"/>
        <v>2679524.9205326717</v>
      </c>
      <c r="AM142" s="102">
        <f t="shared" si="88"/>
        <v>3.1123225806451753</v>
      </c>
      <c r="AN142" s="235">
        <f t="shared" si="87"/>
        <v>0.40789473684210342</v>
      </c>
    </row>
    <row r="143" spans="32:40" x14ac:dyDescent="0.35">
      <c r="AF143" s="230">
        <f t="shared" si="90"/>
        <v>137</v>
      </c>
      <c r="AG143" s="270">
        <f t="shared" si="91"/>
        <v>2032</v>
      </c>
      <c r="AH143" s="243" t="s">
        <v>112</v>
      </c>
      <c r="AI143" s="314">
        <f t="shared" ref="AI143:AI150" si="95">AI142+30</f>
        <v>48335</v>
      </c>
      <c r="AJ143" s="91">
        <f t="shared" si="92"/>
        <v>1942109.3005402004</v>
      </c>
      <c r="AK143" s="93">
        <f t="shared" si="93"/>
        <v>852457.3238665181</v>
      </c>
      <c r="AL143" s="94">
        <f t="shared" si="94"/>
        <v>2681960.4626507536</v>
      </c>
      <c r="AM143" s="102">
        <f t="shared" si="88"/>
        <v>3.146152173913058</v>
      </c>
      <c r="AN143" s="235">
        <f t="shared" si="87"/>
        <v>0.40350877192982271</v>
      </c>
    </row>
    <row r="144" spans="32:40" x14ac:dyDescent="0.35">
      <c r="AF144" s="230">
        <f t="shared" si="90"/>
        <v>138</v>
      </c>
      <c r="AG144" s="273">
        <f t="shared" si="91"/>
        <v>2032</v>
      </c>
      <c r="AH144" s="243" t="s">
        <v>113</v>
      </c>
      <c r="AI144" s="314">
        <f>AI143+31</f>
        <v>48366</v>
      </c>
      <c r="AJ144" s="91">
        <f t="shared" si="92"/>
        <v>1943872.9689705353</v>
      </c>
      <c r="AK144" s="93">
        <f t="shared" si="93"/>
        <v>843957.20249705599</v>
      </c>
      <c r="AL144" s="94">
        <f t="shared" si="94"/>
        <v>2684396.0047688354</v>
      </c>
      <c r="AM144" s="102">
        <f t="shared" si="88"/>
        <v>3.1807252747252899</v>
      </c>
      <c r="AN144" s="235">
        <f t="shared" si="87"/>
        <v>0.39912280701754199</v>
      </c>
    </row>
    <row r="145" spans="32:40" x14ac:dyDescent="0.35">
      <c r="AF145" s="230">
        <f t="shared" si="90"/>
        <v>139</v>
      </c>
      <c r="AG145" s="270">
        <f t="shared" si="91"/>
        <v>2032</v>
      </c>
      <c r="AH145" s="243" t="s">
        <v>114</v>
      </c>
      <c r="AI145" s="314">
        <f t="shared" si="95"/>
        <v>48396</v>
      </c>
      <c r="AJ145" s="91">
        <f t="shared" si="92"/>
        <v>1945636.6374008704</v>
      </c>
      <c r="AK145" s="93">
        <f t="shared" si="93"/>
        <v>835440.2521362236</v>
      </c>
      <c r="AL145" s="94">
        <f t="shared" si="94"/>
        <v>2686831.5468869172</v>
      </c>
      <c r="AM145" s="102">
        <f t="shared" si="88"/>
        <v>3.2160666666666824</v>
      </c>
      <c r="AN145" s="235">
        <f t="shared" si="87"/>
        <v>0.39473684210526128</v>
      </c>
    </row>
    <row r="146" spans="32:40" x14ac:dyDescent="0.35">
      <c r="AF146" s="230">
        <f t="shared" si="90"/>
        <v>140</v>
      </c>
      <c r="AG146" s="270">
        <f t="shared" si="91"/>
        <v>2032</v>
      </c>
      <c r="AH146" s="243" t="s">
        <v>115</v>
      </c>
      <c r="AI146" s="314">
        <f>AI145+31</f>
        <v>48427</v>
      </c>
      <c r="AJ146" s="91">
        <f t="shared" si="92"/>
        <v>1947400.3058312058</v>
      </c>
      <c r="AK146" s="93">
        <f t="shared" si="93"/>
        <v>826906.47278402094</v>
      </c>
      <c r="AL146" s="94">
        <f t="shared" si="94"/>
        <v>2689267.089004999</v>
      </c>
      <c r="AM146" s="102">
        <f t="shared" si="88"/>
        <v>3.2522022471910272</v>
      </c>
      <c r="AN146" s="235">
        <f t="shared" si="87"/>
        <v>0.39035087719298056</v>
      </c>
    </row>
    <row r="147" spans="32:40" x14ac:dyDescent="0.35">
      <c r="AF147" s="230">
        <f t="shared" si="90"/>
        <v>141</v>
      </c>
      <c r="AG147" s="270">
        <f t="shared" si="91"/>
        <v>2032</v>
      </c>
      <c r="AH147" s="243" t="s">
        <v>116</v>
      </c>
      <c r="AI147" s="314">
        <f>AI146+31</f>
        <v>48458</v>
      </c>
      <c r="AJ147" s="91">
        <f t="shared" si="92"/>
        <v>1949163.9742615409</v>
      </c>
      <c r="AK147" s="93">
        <f t="shared" si="93"/>
        <v>818355.864440448</v>
      </c>
      <c r="AL147" s="94">
        <f t="shared" si="94"/>
        <v>2691702.6311230808</v>
      </c>
      <c r="AM147" s="102">
        <f t="shared" si="88"/>
        <v>3.2891590909091075</v>
      </c>
      <c r="AN147" s="235">
        <f t="shared" si="87"/>
        <v>0.38596491228069985</v>
      </c>
    </row>
    <row r="148" spans="32:40" x14ac:dyDescent="0.35">
      <c r="AF148" s="230">
        <f t="shared" si="90"/>
        <v>142</v>
      </c>
      <c r="AG148" s="270">
        <f t="shared" si="91"/>
        <v>2032</v>
      </c>
      <c r="AH148" s="243" t="s">
        <v>117</v>
      </c>
      <c r="AI148" s="314">
        <f t="shared" si="95"/>
        <v>48488</v>
      </c>
      <c r="AJ148" s="91">
        <f t="shared" si="92"/>
        <v>1950927.6426918758</v>
      </c>
      <c r="AK148" s="93">
        <f t="shared" si="93"/>
        <v>809788.42710550479</v>
      </c>
      <c r="AL148" s="94">
        <f t="shared" si="94"/>
        <v>2694138.1732411627</v>
      </c>
      <c r="AM148" s="102">
        <f t="shared" si="88"/>
        <v>3.3269655172413963</v>
      </c>
      <c r="AN148" s="235">
        <f t="shared" si="87"/>
        <v>0.38157894736841913</v>
      </c>
    </row>
    <row r="149" spans="32:40" x14ac:dyDescent="0.35">
      <c r="AF149" s="230">
        <f t="shared" si="90"/>
        <v>143</v>
      </c>
      <c r="AG149" s="270">
        <f t="shared" si="91"/>
        <v>2032</v>
      </c>
      <c r="AH149" s="243" t="s">
        <v>118</v>
      </c>
      <c r="AI149" s="314">
        <f>AI148+31</f>
        <v>48519</v>
      </c>
      <c r="AJ149" s="91">
        <f t="shared" si="92"/>
        <v>1952691.3111222109</v>
      </c>
      <c r="AK149" s="93">
        <f t="shared" si="93"/>
        <v>801204.1607791913</v>
      </c>
      <c r="AL149" s="94">
        <f t="shared" si="94"/>
        <v>2696573.7153592445</v>
      </c>
      <c r="AM149" s="102">
        <f t="shared" si="88"/>
        <v>3.3656511627907153</v>
      </c>
      <c r="AN149" s="235">
        <f t="shared" si="87"/>
        <v>0.37719298245613841</v>
      </c>
    </row>
    <row r="150" spans="32:40" ht="15" thickBot="1" x14ac:dyDescent="0.4">
      <c r="AF150" s="236">
        <f t="shared" si="90"/>
        <v>144</v>
      </c>
      <c r="AG150" s="272">
        <f t="shared" si="91"/>
        <v>2032</v>
      </c>
      <c r="AH150" s="246" t="s">
        <v>119</v>
      </c>
      <c r="AI150" s="315">
        <f t="shared" si="95"/>
        <v>48549</v>
      </c>
      <c r="AJ150" s="238">
        <f t="shared" si="92"/>
        <v>1954454.9795525463</v>
      </c>
      <c r="AK150" s="239">
        <f t="shared" si="93"/>
        <v>792603.06546150753</v>
      </c>
      <c r="AL150" s="240">
        <f t="shared" si="94"/>
        <v>2699009.2574773263</v>
      </c>
      <c r="AM150" s="241">
        <f t="shared" si="88"/>
        <v>3.4052470588235475</v>
      </c>
      <c r="AN150" s="242">
        <f t="shared" si="87"/>
        <v>0.3728070175438577</v>
      </c>
    </row>
    <row r="151" spans="32:40" x14ac:dyDescent="0.35">
      <c r="AF151" s="230">
        <f>AF150+1</f>
        <v>145</v>
      </c>
      <c r="AG151" s="269">
        <f>AG139+1</f>
        <v>2033</v>
      </c>
      <c r="AH151" s="231" t="s">
        <v>108</v>
      </c>
      <c r="AI151" s="312">
        <v>48580</v>
      </c>
      <c r="AJ151" s="232">
        <f>AL139</f>
        <v>2672218.2941784263</v>
      </c>
      <c r="AK151" s="93">
        <f>AL151/AM151</f>
        <v>1070933.169312051</v>
      </c>
      <c r="AL151" s="233">
        <f t="shared" ref="AL151" si="96">AJ151/$L$6*$M$6</f>
        <v>3690206.2157702092</v>
      </c>
      <c r="AM151" s="244">
        <f t="shared" si="88"/>
        <v>3.4457857142857327</v>
      </c>
      <c r="AN151" s="245">
        <f t="shared" si="87"/>
        <v>0.36842105263157698</v>
      </c>
    </row>
    <row r="152" spans="32:40" x14ac:dyDescent="0.35">
      <c r="AF152" s="230">
        <f t="shared" ref="AF152:AF162" si="97">AF151+1</f>
        <v>146</v>
      </c>
      <c r="AG152" s="269">
        <f>AG151</f>
        <v>2033</v>
      </c>
      <c r="AH152" s="231" t="s">
        <v>109</v>
      </c>
      <c r="AI152" s="312">
        <f>AI151+31</f>
        <v>48611</v>
      </c>
      <c r="AJ152" s="91">
        <f>AL152/$AL$6*$AJ$6</f>
        <v>2673981.9626087621</v>
      </c>
      <c r="AK152" s="93">
        <f>AL152/AM152</f>
        <v>1058882.3680573457</v>
      </c>
      <c r="AL152" s="94">
        <f>AL151+($AL$19-$AL$7)/12</f>
        <v>3692641.757888291</v>
      </c>
      <c r="AM152" s="102">
        <f t="shared" si="88"/>
        <v>3.4873012048192962</v>
      </c>
      <c r="AN152" s="235">
        <f t="shared" si="87"/>
        <v>0.36403508771929627</v>
      </c>
    </row>
    <row r="153" spans="32:40" x14ac:dyDescent="0.35">
      <c r="AF153" s="230">
        <f t="shared" si="97"/>
        <v>147</v>
      </c>
      <c r="AG153" s="270">
        <f t="shared" ref="AG153:AG162" si="98">AG152</f>
        <v>2033</v>
      </c>
      <c r="AH153" s="231" t="s">
        <v>110</v>
      </c>
      <c r="AI153" s="312">
        <f>AI152+28</f>
        <v>48639</v>
      </c>
      <c r="AJ153" s="91">
        <f t="shared" ref="AJ153:AJ162" si="99">AL153/$AL$6*$AJ$6</f>
        <v>2675745.631039097</v>
      </c>
      <c r="AK153" s="93">
        <f t="shared" ref="AK153:AK162" si="100">AL153/AM153</f>
        <v>1046814.7378112701</v>
      </c>
      <c r="AL153" s="94">
        <f t="shared" ref="AL153:AL162" si="101">AL152+($AL$19-$AL$7)/12</f>
        <v>3695077.3000063729</v>
      </c>
      <c r="AM153" s="102">
        <f t="shared" si="88"/>
        <v>3.5298292682927026</v>
      </c>
      <c r="AN153" s="235">
        <f t="shared" si="87"/>
        <v>0.35964912280701555</v>
      </c>
    </row>
    <row r="154" spans="32:40" x14ac:dyDescent="0.35">
      <c r="AF154" s="230">
        <f t="shared" si="97"/>
        <v>148</v>
      </c>
      <c r="AG154" s="270">
        <f t="shared" si="98"/>
        <v>2033</v>
      </c>
      <c r="AH154" s="231" t="s">
        <v>111</v>
      </c>
      <c r="AI154" s="312">
        <f t="shared" ref="AI154:AI161" si="102">AI153+31</f>
        <v>48670</v>
      </c>
      <c r="AJ154" s="91">
        <f t="shared" si="99"/>
        <v>2677509.2994694319</v>
      </c>
      <c r="AK154" s="93">
        <f t="shared" si="100"/>
        <v>1034730.2785738242</v>
      </c>
      <c r="AL154" s="94">
        <f t="shared" si="101"/>
        <v>3697512.8421244547</v>
      </c>
      <c r="AM154" s="102">
        <f t="shared" si="88"/>
        <v>3.5734074074074278</v>
      </c>
      <c r="AN154" s="235">
        <f t="shared" si="87"/>
        <v>0.35526315789473484</v>
      </c>
    </row>
    <row r="155" spans="32:40" x14ac:dyDescent="0.35">
      <c r="AF155" s="230">
        <f t="shared" si="97"/>
        <v>149</v>
      </c>
      <c r="AG155" s="270">
        <f t="shared" si="98"/>
        <v>2033</v>
      </c>
      <c r="AH155" s="231" t="s">
        <v>112</v>
      </c>
      <c r="AI155" s="312">
        <f>AI154+30</f>
        <v>48700</v>
      </c>
      <c r="AJ155" s="91">
        <f t="shared" si="99"/>
        <v>2679272.9678997668</v>
      </c>
      <c r="AK155" s="93">
        <f t="shared" si="100"/>
        <v>1022628.9903450081</v>
      </c>
      <c r="AL155" s="94">
        <f t="shared" si="101"/>
        <v>3699948.3842425365</v>
      </c>
      <c r="AM155" s="102">
        <f t="shared" si="88"/>
        <v>3.618075000000021</v>
      </c>
      <c r="AN155" s="235">
        <f t="shared" si="87"/>
        <v>0.35087719298245412</v>
      </c>
    </row>
    <row r="156" spans="32:40" x14ac:dyDescent="0.35">
      <c r="AF156" s="230">
        <f t="shared" si="97"/>
        <v>150</v>
      </c>
      <c r="AG156" s="273">
        <f t="shared" si="98"/>
        <v>2033</v>
      </c>
      <c r="AH156" s="231" t="s">
        <v>113</v>
      </c>
      <c r="AI156" s="312">
        <f t="shared" si="102"/>
        <v>48731</v>
      </c>
      <c r="AJ156" s="91">
        <f t="shared" si="99"/>
        <v>2681036.6363301021</v>
      </c>
      <c r="AK156" s="93">
        <f t="shared" si="100"/>
        <v>1010510.8731248216</v>
      </c>
      <c r="AL156" s="94">
        <f t="shared" si="101"/>
        <v>3702383.9263606183</v>
      </c>
      <c r="AM156" s="102">
        <f t="shared" si="88"/>
        <v>3.6638734177215406</v>
      </c>
      <c r="AN156" s="235">
        <f t="shared" si="87"/>
        <v>0.34649122807017341</v>
      </c>
    </row>
    <row r="157" spans="32:40" x14ac:dyDescent="0.35">
      <c r="AF157" s="230">
        <f t="shared" si="97"/>
        <v>151</v>
      </c>
      <c r="AG157" s="270">
        <f t="shared" si="98"/>
        <v>2033</v>
      </c>
      <c r="AH157" s="231" t="s">
        <v>114</v>
      </c>
      <c r="AI157" s="312">
        <f>AI156+30</f>
        <v>48761</v>
      </c>
      <c r="AJ157" s="91">
        <f t="shared" si="99"/>
        <v>2682800.3047604375</v>
      </c>
      <c r="AK157" s="93">
        <f t="shared" si="100"/>
        <v>998375.92691326491</v>
      </c>
      <c r="AL157" s="94">
        <f t="shared" si="101"/>
        <v>3704819.4684787001</v>
      </c>
      <c r="AM157" s="102">
        <f t="shared" si="88"/>
        <v>3.7108461538461763</v>
      </c>
      <c r="AN157" s="235">
        <f t="shared" si="87"/>
        <v>0.34210526315789269</v>
      </c>
    </row>
    <row r="158" spans="32:40" x14ac:dyDescent="0.35">
      <c r="AF158" s="230">
        <f t="shared" si="97"/>
        <v>152</v>
      </c>
      <c r="AG158" s="270">
        <f t="shared" si="98"/>
        <v>2033</v>
      </c>
      <c r="AH158" s="231" t="s">
        <v>115</v>
      </c>
      <c r="AI158" s="312">
        <f t="shared" si="102"/>
        <v>48792</v>
      </c>
      <c r="AJ158" s="91">
        <f t="shared" si="99"/>
        <v>2684563.9731907723</v>
      </c>
      <c r="AK158" s="93">
        <f t="shared" si="100"/>
        <v>986224.15171033784</v>
      </c>
      <c r="AL158" s="94">
        <f t="shared" si="101"/>
        <v>3707255.010596782</v>
      </c>
      <c r="AM158" s="102">
        <f t="shared" si="88"/>
        <v>3.7590389610389843</v>
      </c>
      <c r="AN158" s="235">
        <f t="shared" si="87"/>
        <v>0.33771929824561198</v>
      </c>
    </row>
    <row r="159" spans="32:40" x14ac:dyDescent="0.35">
      <c r="AF159" s="230">
        <f t="shared" si="97"/>
        <v>153</v>
      </c>
      <c r="AG159" s="270">
        <f t="shared" si="98"/>
        <v>2033</v>
      </c>
      <c r="AH159" s="231" t="s">
        <v>116</v>
      </c>
      <c r="AI159" s="312">
        <f t="shared" si="102"/>
        <v>48823</v>
      </c>
      <c r="AJ159" s="91">
        <f t="shared" si="99"/>
        <v>2686327.6416211072</v>
      </c>
      <c r="AK159" s="93">
        <f t="shared" si="100"/>
        <v>974055.5475160405</v>
      </c>
      <c r="AL159" s="94">
        <f t="shared" si="101"/>
        <v>3709690.5527148638</v>
      </c>
      <c r="AM159" s="102">
        <f t="shared" si="88"/>
        <v>3.808500000000024</v>
      </c>
      <c r="AN159" s="235">
        <f t="shared" si="87"/>
        <v>0.33333333333333126</v>
      </c>
    </row>
    <row r="160" spans="32:40" x14ac:dyDescent="0.35">
      <c r="AF160" s="230">
        <f t="shared" si="97"/>
        <v>154</v>
      </c>
      <c r="AG160" s="270">
        <f t="shared" si="98"/>
        <v>2033</v>
      </c>
      <c r="AH160" s="231" t="s">
        <v>117</v>
      </c>
      <c r="AI160" s="312">
        <f>AI159+30</f>
        <v>48853</v>
      </c>
      <c r="AJ160" s="91">
        <f t="shared" si="99"/>
        <v>2688091.3100514426</v>
      </c>
      <c r="AK160" s="93">
        <f t="shared" si="100"/>
        <v>961870.11433037289</v>
      </c>
      <c r="AL160" s="94">
        <f t="shared" si="101"/>
        <v>3712126.0948329456</v>
      </c>
      <c r="AM160" s="102">
        <f t="shared" si="88"/>
        <v>3.8592800000000249</v>
      </c>
      <c r="AN160" s="235">
        <f t="shared" si="87"/>
        <v>0.32894736842105055</v>
      </c>
    </row>
    <row r="161" spans="32:40" x14ac:dyDescent="0.35">
      <c r="AF161" s="230">
        <f t="shared" si="97"/>
        <v>155</v>
      </c>
      <c r="AG161" s="270">
        <f t="shared" si="98"/>
        <v>2033</v>
      </c>
      <c r="AH161" s="231" t="s">
        <v>118</v>
      </c>
      <c r="AI161" s="312">
        <f t="shared" si="102"/>
        <v>48884</v>
      </c>
      <c r="AJ161" s="91">
        <f t="shared" si="99"/>
        <v>2689854.9784817779</v>
      </c>
      <c r="AK161" s="93">
        <f t="shared" si="100"/>
        <v>949667.85215333512</v>
      </c>
      <c r="AL161" s="94">
        <f t="shared" si="101"/>
        <v>3714561.6369510274</v>
      </c>
      <c r="AM161" s="102">
        <f t="shared" si="88"/>
        <v>3.9114324324324579</v>
      </c>
      <c r="AN161" s="235">
        <f t="shared" si="87"/>
        <v>0.32456140350876983</v>
      </c>
    </row>
    <row r="162" spans="32:40" ht="15" thickBot="1" x14ac:dyDescent="0.4">
      <c r="AF162" s="236">
        <f t="shared" si="97"/>
        <v>156</v>
      </c>
      <c r="AG162" s="272">
        <f t="shared" si="98"/>
        <v>2033</v>
      </c>
      <c r="AH162" s="237" t="s">
        <v>119</v>
      </c>
      <c r="AI162" s="313">
        <f>AI161+30</f>
        <v>48914</v>
      </c>
      <c r="AJ162" s="238">
        <f t="shared" si="99"/>
        <v>2691618.6469121128</v>
      </c>
      <c r="AK162" s="239">
        <f t="shared" si="100"/>
        <v>937448.76098492695</v>
      </c>
      <c r="AL162" s="240">
        <f t="shared" si="101"/>
        <v>3716997.1790691093</v>
      </c>
      <c r="AM162" s="241">
        <f t="shared" si="88"/>
        <v>3.9650136986301634</v>
      </c>
      <c r="AN162" s="242">
        <f t="shared" si="87"/>
        <v>0.32017543859648911</v>
      </c>
    </row>
    <row r="163" spans="32:40" x14ac:dyDescent="0.35">
      <c r="AF163" s="230">
        <f>AF162+1</f>
        <v>157</v>
      </c>
      <c r="AG163" s="269">
        <f>AG151+1</f>
        <v>2034</v>
      </c>
      <c r="AH163" s="243" t="s">
        <v>108</v>
      </c>
      <c r="AI163" s="314">
        <f>AI162+31</f>
        <v>48945</v>
      </c>
      <c r="AJ163" s="232">
        <f>AL151</f>
        <v>3690206.2157702092</v>
      </c>
      <c r="AK163" s="93">
        <f>AL163/AM163</f>
        <v>1267635.1800020179</v>
      </c>
      <c r="AL163" s="233">
        <f t="shared" ref="AL163" si="103">AJ163/$L$6*$M$6</f>
        <v>5095999.0598731469</v>
      </c>
      <c r="AM163" s="244">
        <f t="shared" si="88"/>
        <v>4.0200833333333605</v>
      </c>
      <c r="AN163" s="245">
        <f t="shared" si="87"/>
        <v>0.3157894736842084</v>
      </c>
    </row>
    <row r="164" spans="32:40" x14ac:dyDescent="0.35">
      <c r="AF164" s="230">
        <f t="shared" ref="AF164:AF174" si="104">AF163+1</f>
        <v>158</v>
      </c>
      <c r="AG164" s="269">
        <f>AG163</f>
        <v>2034</v>
      </c>
      <c r="AH164" s="243" t="s">
        <v>109</v>
      </c>
      <c r="AI164" s="314">
        <f>AI163+31</f>
        <v>48976</v>
      </c>
      <c r="AJ164" s="91">
        <f>AL164/$AL$6*$AJ$6</f>
        <v>3691969.8842005436</v>
      </c>
      <c r="AK164" s="93">
        <f>AL164/AM164</f>
        <v>1250626.5650289683</v>
      </c>
      <c r="AL164" s="94">
        <f>AL163+($AL$19-$AL$7)/12</f>
        <v>5098434.6019912288</v>
      </c>
      <c r="AM164" s="102">
        <f t="shared" si="88"/>
        <v>4.0767042253521408</v>
      </c>
      <c r="AN164" s="235">
        <f t="shared" si="87"/>
        <v>0.31140350877192768</v>
      </c>
    </row>
    <row r="165" spans="32:40" x14ac:dyDescent="0.35">
      <c r="AF165" s="230">
        <f t="shared" si="104"/>
        <v>159</v>
      </c>
      <c r="AG165" s="270">
        <f t="shared" ref="AG165:AG174" si="105">AG164</f>
        <v>2034</v>
      </c>
      <c r="AH165" s="243" t="s">
        <v>110</v>
      </c>
      <c r="AI165" s="314">
        <f>AI164+28</f>
        <v>49004</v>
      </c>
      <c r="AJ165" s="91">
        <f t="shared" ref="AJ165:AJ174" si="106">AL165/$AL$6*$AJ$6</f>
        <v>3693733.552630879</v>
      </c>
      <c r="AK165" s="93">
        <f t="shared" ref="AK165:AK174" si="107">AL165/AM165</f>
        <v>1233601.1210645484</v>
      </c>
      <c r="AL165" s="94">
        <f t="shared" ref="AL165:AL174" si="108">AL164+($AL$19-$AL$7)/12</f>
        <v>5100870.1441093106</v>
      </c>
      <c r="AM165" s="102">
        <f t="shared" si="88"/>
        <v>4.1349428571428861</v>
      </c>
      <c r="AN165" s="235">
        <f t="shared" si="87"/>
        <v>0.30701754385964697</v>
      </c>
    </row>
    <row r="166" spans="32:40" x14ac:dyDescent="0.35">
      <c r="AF166" s="230">
        <f t="shared" si="104"/>
        <v>160</v>
      </c>
      <c r="AG166" s="270">
        <f t="shared" si="105"/>
        <v>2034</v>
      </c>
      <c r="AH166" s="243" t="s">
        <v>111</v>
      </c>
      <c r="AI166" s="314">
        <f>AI165+31</f>
        <v>49035</v>
      </c>
      <c r="AJ166" s="91">
        <f t="shared" si="106"/>
        <v>3695497.2210612143</v>
      </c>
      <c r="AK166" s="93">
        <f t="shared" si="107"/>
        <v>1216558.8481087578</v>
      </c>
      <c r="AL166" s="94">
        <f t="shared" si="108"/>
        <v>5103305.6862273924</v>
      </c>
      <c r="AM166" s="102">
        <f t="shared" si="88"/>
        <v>4.1948695652174219</v>
      </c>
      <c r="AN166" s="235">
        <f t="shared" si="87"/>
        <v>0.30263157894736625</v>
      </c>
    </row>
    <row r="167" spans="32:40" x14ac:dyDescent="0.35">
      <c r="AF167" s="230">
        <f t="shared" si="104"/>
        <v>161</v>
      </c>
      <c r="AG167" s="270">
        <f t="shared" si="105"/>
        <v>2034</v>
      </c>
      <c r="AH167" s="243" t="s">
        <v>112</v>
      </c>
      <c r="AI167" s="314">
        <f t="shared" ref="AI167:AI174" si="109">AI166+30</f>
        <v>49065</v>
      </c>
      <c r="AJ167" s="91">
        <f t="shared" si="106"/>
        <v>3697260.8894915492</v>
      </c>
      <c r="AK167" s="93">
        <f t="shared" si="107"/>
        <v>1199499.7461615973</v>
      </c>
      <c r="AL167" s="94">
        <f t="shared" si="108"/>
        <v>5105741.2283454742</v>
      </c>
      <c r="AM167" s="102">
        <f t="shared" si="88"/>
        <v>4.2565588235294429</v>
      </c>
      <c r="AN167" s="235">
        <f t="shared" si="87"/>
        <v>0.29824561403508554</v>
      </c>
    </row>
    <row r="168" spans="32:40" x14ac:dyDescent="0.35">
      <c r="AF168" s="230">
        <f t="shared" si="104"/>
        <v>162</v>
      </c>
      <c r="AG168" s="273">
        <f t="shared" si="105"/>
        <v>2034</v>
      </c>
      <c r="AH168" s="243" t="s">
        <v>113</v>
      </c>
      <c r="AI168" s="314">
        <f>AI167+31</f>
        <v>49096</v>
      </c>
      <c r="AJ168" s="91">
        <f t="shared" si="106"/>
        <v>3699024.5579218846</v>
      </c>
      <c r="AK168" s="93">
        <f t="shared" si="107"/>
        <v>1182423.8152230666</v>
      </c>
      <c r="AL168" s="94">
        <f t="shared" si="108"/>
        <v>5108176.7704635561</v>
      </c>
      <c r="AM168" s="102">
        <f t="shared" si="88"/>
        <v>4.3200895522388381</v>
      </c>
      <c r="AN168" s="235">
        <f t="shared" si="87"/>
        <v>0.29385964912280482</v>
      </c>
    </row>
    <row r="169" spans="32:40" x14ac:dyDescent="0.35">
      <c r="AF169" s="230">
        <f t="shared" si="104"/>
        <v>163</v>
      </c>
      <c r="AG169" s="270">
        <f t="shared" si="105"/>
        <v>2034</v>
      </c>
      <c r="AH169" s="243" t="s">
        <v>114</v>
      </c>
      <c r="AI169" s="314">
        <f t="shared" si="109"/>
        <v>49126</v>
      </c>
      <c r="AJ169" s="91">
        <f t="shared" si="106"/>
        <v>3700788.226352219</v>
      </c>
      <c r="AK169" s="93">
        <f t="shared" si="107"/>
        <v>1165331.0552931654</v>
      </c>
      <c r="AL169" s="94">
        <f t="shared" si="108"/>
        <v>5110612.3125816379</v>
      </c>
      <c r="AM169" s="102">
        <f t="shared" si="88"/>
        <v>4.3855454545454879</v>
      </c>
      <c r="AN169" s="235">
        <f t="shared" si="87"/>
        <v>0.28947368421052411</v>
      </c>
    </row>
    <row r="170" spans="32:40" x14ac:dyDescent="0.35">
      <c r="AF170" s="230">
        <f t="shared" si="104"/>
        <v>164</v>
      </c>
      <c r="AG170" s="270">
        <f t="shared" si="105"/>
        <v>2034</v>
      </c>
      <c r="AH170" s="243" t="s">
        <v>115</v>
      </c>
      <c r="AI170" s="314">
        <f>AI169+31</f>
        <v>49157</v>
      </c>
      <c r="AJ170" s="91">
        <f t="shared" si="106"/>
        <v>3702551.8947825544</v>
      </c>
      <c r="AK170" s="93">
        <f t="shared" si="107"/>
        <v>1148221.4663718939</v>
      </c>
      <c r="AL170" s="94">
        <f t="shared" si="108"/>
        <v>5113047.8546997197</v>
      </c>
      <c r="AM170" s="102">
        <f t="shared" si="88"/>
        <v>4.4530153846154192</v>
      </c>
      <c r="AN170" s="235">
        <f t="shared" si="87"/>
        <v>0.28508771929824339</v>
      </c>
    </row>
    <row r="171" spans="32:40" x14ac:dyDescent="0.35">
      <c r="AF171" s="230">
        <f t="shared" si="104"/>
        <v>165</v>
      </c>
      <c r="AG171" s="270">
        <f t="shared" si="105"/>
        <v>2034</v>
      </c>
      <c r="AH171" s="243" t="s">
        <v>116</v>
      </c>
      <c r="AI171" s="314">
        <f>AI170+31</f>
        <v>49188</v>
      </c>
      <c r="AJ171" s="91">
        <f t="shared" si="106"/>
        <v>3704315.5632128897</v>
      </c>
      <c r="AK171" s="93">
        <f t="shared" si="107"/>
        <v>1131095.0484592521</v>
      </c>
      <c r="AL171" s="94">
        <f t="shared" si="108"/>
        <v>5115483.3968178015</v>
      </c>
      <c r="AM171" s="102">
        <f t="shared" si="88"/>
        <v>4.5225937500000359</v>
      </c>
      <c r="AN171" s="235">
        <f t="shared" si="87"/>
        <v>0.28070175438596268</v>
      </c>
    </row>
    <row r="172" spans="32:40" x14ac:dyDescent="0.35">
      <c r="AF172" s="230">
        <f t="shared" si="104"/>
        <v>166</v>
      </c>
      <c r="AG172" s="270">
        <f t="shared" si="105"/>
        <v>2034</v>
      </c>
      <c r="AH172" s="243" t="s">
        <v>117</v>
      </c>
      <c r="AI172" s="314">
        <f t="shared" si="109"/>
        <v>49218</v>
      </c>
      <c r="AJ172" s="91">
        <f t="shared" si="106"/>
        <v>3706079.2316432246</v>
      </c>
      <c r="AK172" s="93">
        <f t="shared" si="107"/>
        <v>1113951.8015552401</v>
      </c>
      <c r="AL172" s="94">
        <f t="shared" si="108"/>
        <v>5117918.9389358833</v>
      </c>
      <c r="AM172" s="102">
        <f t="shared" si="88"/>
        <v>4.5943809523809902</v>
      </c>
      <c r="AN172" s="235">
        <f t="shared" si="87"/>
        <v>0.27631578947368196</v>
      </c>
    </row>
    <row r="173" spans="32:40" x14ac:dyDescent="0.35">
      <c r="AF173" s="230">
        <f t="shared" si="104"/>
        <v>167</v>
      </c>
      <c r="AG173" s="270">
        <f t="shared" si="105"/>
        <v>2034</v>
      </c>
      <c r="AH173" s="243" t="s">
        <v>118</v>
      </c>
      <c r="AI173" s="314">
        <f>AI172+31</f>
        <v>49249</v>
      </c>
      <c r="AJ173" s="91">
        <f t="shared" si="106"/>
        <v>3707842.90007356</v>
      </c>
      <c r="AK173" s="93">
        <f t="shared" si="107"/>
        <v>1096791.7256598577</v>
      </c>
      <c r="AL173" s="94">
        <f t="shared" si="108"/>
        <v>5120354.4810539652</v>
      </c>
      <c r="AM173" s="102">
        <f t="shared" si="88"/>
        <v>4.6684838709677807</v>
      </c>
      <c r="AN173" s="235">
        <f t="shared" si="87"/>
        <v>0.27192982456140125</v>
      </c>
    </row>
    <row r="174" spans="32:40" ht="15" thickBot="1" x14ac:dyDescent="0.4">
      <c r="AF174" s="236">
        <f t="shared" si="104"/>
        <v>168</v>
      </c>
      <c r="AG174" s="272">
        <f t="shared" si="105"/>
        <v>2034</v>
      </c>
      <c r="AH174" s="246" t="s">
        <v>119</v>
      </c>
      <c r="AI174" s="315">
        <f t="shared" si="109"/>
        <v>49279</v>
      </c>
      <c r="AJ174" s="238">
        <f t="shared" si="106"/>
        <v>3709606.5685038953</v>
      </c>
      <c r="AK174" s="239">
        <f t="shared" si="107"/>
        <v>1079614.8207731051</v>
      </c>
      <c r="AL174" s="240">
        <f t="shared" si="108"/>
        <v>5122790.023172047</v>
      </c>
      <c r="AM174" s="241">
        <f t="shared" si="88"/>
        <v>4.7450163934426639</v>
      </c>
      <c r="AN174" s="242">
        <f t="shared" si="87"/>
        <v>0.26754385964912053</v>
      </c>
    </row>
    <row r="175" spans="32:40" x14ac:dyDescent="0.35">
      <c r="AF175" s="230">
        <f>AF174+1</f>
        <v>169</v>
      </c>
      <c r="AG175" s="269">
        <f>AG163+1</f>
        <v>2035</v>
      </c>
      <c r="AH175" s="231" t="s">
        <v>108</v>
      </c>
      <c r="AI175" s="312">
        <v>49310</v>
      </c>
      <c r="AJ175" s="232">
        <f>AL163</f>
        <v>5095999.0598731469</v>
      </c>
      <c r="AK175" s="93">
        <f>AL175/AM175</f>
        <v>1458786.5166689863</v>
      </c>
      <c r="AL175" s="233">
        <f t="shared" ref="AL175" si="110">AJ175/$L$6*$M$6</f>
        <v>7037332.0350629184</v>
      </c>
      <c r="AM175" s="244">
        <f t="shared" si="88"/>
        <v>4.8241000000000422</v>
      </c>
      <c r="AN175" s="245">
        <f t="shared" si="87"/>
        <v>0.26315789473683981</v>
      </c>
    </row>
    <row r="176" spans="32:40" x14ac:dyDescent="0.35">
      <c r="AF176" s="230">
        <f t="shared" ref="AF176:AF186" si="111">AF175+1</f>
        <v>170</v>
      </c>
      <c r="AG176" s="269">
        <f>AG175</f>
        <v>2035</v>
      </c>
      <c r="AH176" s="231" t="s">
        <v>109</v>
      </c>
      <c r="AI176" s="312">
        <f>AI175+31</f>
        <v>49341</v>
      </c>
      <c r="AJ176" s="91">
        <f>AL176/$AL$6*$AJ$6</f>
        <v>5097762.7283034809</v>
      </c>
      <c r="AK176" s="93">
        <f>AL176/AM176</f>
        <v>1434969.8633032595</v>
      </c>
      <c r="AL176" s="94">
        <f>AL175+($AL$19-$AL$7)/12</f>
        <v>7039767.5771810003</v>
      </c>
      <c r="AM176" s="102">
        <f t="shared" si="88"/>
        <v>4.9058644067797053</v>
      </c>
      <c r="AN176" s="235">
        <f t="shared" si="87"/>
        <v>0.2587719298245591</v>
      </c>
    </row>
    <row r="177" spans="32:40" x14ac:dyDescent="0.35">
      <c r="AF177" s="230">
        <f t="shared" si="111"/>
        <v>171</v>
      </c>
      <c r="AG177" s="270">
        <f t="shared" ref="AG177:AG186" si="112">AG176</f>
        <v>2035</v>
      </c>
      <c r="AH177" s="231" t="s">
        <v>110</v>
      </c>
      <c r="AI177" s="312">
        <f>AI176+28</f>
        <v>49369</v>
      </c>
      <c r="AJ177" s="91">
        <f t="shared" ref="AJ177:AJ186" si="113">AL177/$AL$6*$AJ$6</f>
        <v>5099526.3967338167</v>
      </c>
      <c r="AK177" s="93">
        <f t="shared" ref="AK177:AK186" si="114">AL177/AM177</f>
        <v>1411136.3809461626</v>
      </c>
      <c r="AL177" s="94">
        <f t="shared" ref="AL177:AL186" si="115">AL176+($AL$19-$AL$7)/12</f>
        <v>7042203.1192990821</v>
      </c>
      <c r="AM177" s="102">
        <f t="shared" si="88"/>
        <v>4.9904482758621151</v>
      </c>
      <c r="AN177" s="235">
        <f t="shared" si="87"/>
        <v>0.25438596491227838</v>
      </c>
    </row>
    <row r="178" spans="32:40" x14ac:dyDescent="0.35">
      <c r="AF178" s="230">
        <f t="shared" si="111"/>
        <v>172</v>
      </c>
      <c r="AG178" s="270">
        <f t="shared" si="112"/>
        <v>2035</v>
      </c>
      <c r="AH178" s="231" t="s">
        <v>111</v>
      </c>
      <c r="AI178" s="312">
        <f t="shared" ref="AI178:AI185" si="116">AI177+31</f>
        <v>49400</v>
      </c>
      <c r="AJ178" s="91">
        <f t="shared" si="113"/>
        <v>5101290.0651641516</v>
      </c>
      <c r="AK178" s="93">
        <f t="shared" si="114"/>
        <v>1387286.0695976955</v>
      </c>
      <c r="AL178" s="94">
        <f t="shared" si="115"/>
        <v>7044638.6614171639</v>
      </c>
      <c r="AM178" s="102">
        <f t="shared" si="88"/>
        <v>5.0780000000000474</v>
      </c>
      <c r="AN178" s="235">
        <f t="shared" si="87"/>
        <v>0.2499999999999977</v>
      </c>
    </row>
    <row r="179" spans="32:40" x14ac:dyDescent="0.35">
      <c r="AF179" s="230">
        <f t="shared" si="111"/>
        <v>173</v>
      </c>
      <c r="AG179" s="270">
        <f t="shared" si="112"/>
        <v>2035</v>
      </c>
      <c r="AH179" s="231" t="s">
        <v>112</v>
      </c>
      <c r="AI179" s="312">
        <f>AI178+30</f>
        <v>49430</v>
      </c>
      <c r="AJ179" s="91">
        <f t="shared" si="113"/>
        <v>5103053.7335944865</v>
      </c>
      <c r="AK179" s="93">
        <f t="shared" si="114"/>
        <v>1363418.9292578583</v>
      </c>
      <c r="AL179" s="94">
        <f t="shared" si="115"/>
        <v>7047074.2035352457</v>
      </c>
      <c r="AM179" s="102">
        <f t="shared" si="88"/>
        <v>5.1686785714286199</v>
      </c>
      <c r="AN179" s="235">
        <f t="shared" si="87"/>
        <v>0.24561403508771701</v>
      </c>
    </row>
    <row r="180" spans="32:40" x14ac:dyDescent="0.35">
      <c r="AF180" s="230">
        <f t="shared" si="111"/>
        <v>174</v>
      </c>
      <c r="AG180" s="273">
        <f t="shared" si="112"/>
        <v>2035</v>
      </c>
      <c r="AH180" s="231" t="s">
        <v>113</v>
      </c>
      <c r="AI180" s="312">
        <f t="shared" si="116"/>
        <v>49461</v>
      </c>
      <c r="AJ180" s="91">
        <f t="shared" si="113"/>
        <v>5104817.4020248223</v>
      </c>
      <c r="AK180" s="93">
        <f t="shared" si="114"/>
        <v>1339534.9599266506</v>
      </c>
      <c r="AL180" s="94">
        <f t="shared" si="115"/>
        <v>7049509.7456533276</v>
      </c>
      <c r="AM180" s="102">
        <f t="shared" si="88"/>
        <v>5.2626545454545957</v>
      </c>
      <c r="AN180" s="235">
        <f t="shared" si="87"/>
        <v>0.24122807017543632</v>
      </c>
    </row>
    <row r="181" spans="32:40" x14ac:dyDescent="0.35">
      <c r="AF181" s="230">
        <f t="shared" si="111"/>
        <v>175</v>
      </c>
      <c r="AG181" s="270">
        <f t="shared" si="112"/>
        <v>2035</v>
      </c>
      <c r="AH181" s="231" t="s">
        <v>114</v>
      </c>
      <c r="AI181" s="312">
        <f>AI180+30</f>
        <v>49491</v>
      </c>
      <c r="AJ181" s="91">
        <f t="shared" si="113"/>
        <v>5106581.0704551563</v>
      </c>
      <c r="AK181" s="93">
        <f t="shared" si="114"/>
        <v>1315634.1616040727</v>
      </c>
      <c r="AL181" s="94">
        <f t="shared" si="115"/>
        <v>7051945.2877714094</v>
      </c>
      <c r="AM181" s="102">
        <f t="shared" si="88"/>
        <v>5.3601111111111628</v>
      </c>
      <c r="AN181" s="235">
        <f t="shared" si="87"/>
        <v>0.23684210526315563</v>
      </c>
    </row>
    <row r="182" spans="32:40" x14ac:dyDescent="0.35">
      <c r="AF182" s="230">
        <f t="shared" si="111"/>
        <v>176</v>
      </c>
      <c r="AG182" s="270">
        <f t="shared" si="112"/>
        <v>2035</v>
      </c>
      <c r="AH182" s="231" t="s">
        <v>115</v>
      </c>
      <c r="AI182" s="312">
        <f t="shared" si="116"/>
        <v>49522</v>
      </c>
      <c r="AJ182" s="91">
        <f t="shared" si="113"/>
        <v>5108344.7388854921</v>
      </c>
      <c r="AK182" s="93">
        <f t="shared" si="114"/>
        <v>1291716.5342901247</v>
      </c>
      <c r="AL182" s="94">
        <f t="shared" si="115"/>
        <v>7054380.8298894912</v>
      </c>
      <c r="AM182" s="102">
        <f t="shared" si="88"/>
        <v>5.4612452830189211</v>
      </c>
      <c r="AN182" s="235">
        <f t="shared" si="87"/>
        <v>0.23245614035087495</v>
      </c>
    </row>
    <row r="183" spans="32:40" x14ac:dyDescent="0.35">
      <c r="AF183" s="230">
        <f t="shared" si="111"/>
        <v>177</v>
      </c>
      <c r="AG183" s="270">
        <f t="shared" si="112"/>
        <v>2035</v>
      </c>
      <c r="AH183" s="231" t="s">
        <v>116</v>
      </c>
      <c r="AI183" s="312">
        <f t="shared" si="116"/>
        <v>49553</v>
      </c>
      <c r="AJ183" s="91">
        <f t="shared" si="113"/>
        <v>5110108.4073158279</v>
      </c>
      <c r="AK183" s="93">
        <f t="shared" si="114"/>
        <v>1267782.0779848062</v>
      </c>
      <c r="AL183" s="94">
        <f t="shared" si="115"/>
        <v>7056816.372007573</v>
      </c>
      <c r="AM183" s="102">
        <f t="shared" si="88"/>
        <v>5.5662692307692856</v>
      </c>
      <c r="AN183" s="235">
        <f t="shared" si="87"/>
        <v>0.22807017543859426</v>
      </c>
    </row>
    <row r="184" spans="32:40" x14ac:dyDescent="0.35">
      <c r="AF184" s="230">
        <f t="shared" si="111"/>
        <v>178</v>
      </c>
      <c r="AG184" s="270">
        <f t="shared" si="112"/>
        <v>2035</v>
      </c>
      <c r="AH184" s="231" t="s">
        <v>117</v>
      </c>
      <c r="AI184" s="312">
        <f>AI183+30</f>
        <v>49583</v>
      </c>
      <c r="AJ184" s="91">
        <f t="shared" si="113"/>
        <v>5111872.0757461619</v>
      </c>
      <c r="AK184" s="93">
        <f t="shared" si="114"/>
        <v>1243830.7926881174</v>
      </c>
      <c r="AL184" s="94">
        <f t="shared" si="115"/>
        <v>7059251.9141256548</v>
      </c>
      <c r="AM184" s="102">
        <f t="shared" si="88"/>
        <v>5.675411764705939</v>
      </c>
      <c r="AN184" s="235">
        <f t="shared" si="87"/>
        <v>0.22368421052631357</v>
      </c>
    </row>
    <row r="185" spans="32:40" x14ac:dyDescent="0.35">
      <c r="AF185" s="230">
        <f t="shared" si="111"/>
        <v>179</v>
      </c>
      <c r="AG185" s="270">
        <f t="shared" si="112"/>
        <v>2035</v>
      </c>
      <c r="AH185" s="231" t="s">
        <v>118</v>
      </c>
      <c r="AI185" s="312">
        <f t="shared" si="116"/>
        <v>49614</v>
      </c>
      <c r="AJ185" s="91">
        <f t="shared" si="113"/>
        <v>5113635.7441764977</v>
      </c>
      <c r="AK185" s="93">
        <f t="shared" si="114"/>
        <v>1219862.6784000583</v>
      </c>
      <c r="AL185" s="94">
        <f t="shared" si="115"/>
        <v>7061687.4562437367</v>
      </c>
      <c r="AM185" s="102">
        <f t="shared" si="88"/>
        <v>5.7889200000000587</v>
      </c>
      <c r="AN185" s="235">
        <f t="shared" si="87"/>
        <v>0.21929824561403288</v>
      </c>
    </row>
    <row r="186" spans="32:40" ht="15" thickBot="1" x14ac:dyDescent="0.4">
      <c r="AF186" s="236">
        <f t="shared" si="111"/>
        <v>180</v>
      </c>
      <c r="AG186" s="272">
        <f t="shared" si="112"/>
        <v>2035</v>
      </c>
      <c r="AH186" s="237" t="s">
        <v>119</v>
      </c>
      <c r="AI186" s="313">
        <f>AI185+30</f>
        <v>49644</v>
      </c>
      <c r="AJ186" s="238">
        <f t="shared" si="113"/>
        <v>5115399.4126068326</v>
      </c>
      <c r="AK186" s="239">
        <f t="shared" si="114"/>
        <v>1195877.735120629</v>
      </c>
      <c r="AL186" s="240">
        <f t="shared" si="115"/>
        <v>7064122.9983618185</v>
      </c>
      <c r="AM186" s="241">
        <f t="shared" si="88"/>
        <v>5.9070612244898566</v>
      </c>
      <c r="AN186" s="242">
        <f t="shared" si="87"/>
        <v>0.2149122807017522</v>
      </c>
    </row>
    <row r="187" spans="32:40" x14ac:dyDescent="0.35">
      <c r="AF187" s="230">
        <f>AF186+1</f>
        <v>181</v>
      </c>
      <c r="AG187" s="269">
        <f>AG175+1</f>
        <v>2036</v>
      </c>
      <c r="AH187" s="243" t="s">
        <v>108</v>
      </c>
      <c r="AI187" s="314">
        <f>AI186+31</f>
        <v>49675</v>
      </c>
      <c r="AJ187" s="232">
        <f>AL175</f>
        <v>7037332.0350629184</v>
      </c>
      <c r="AK187" s="93">
        <f>AL187/AM187</f>
        <v>1611611.7707962112</v>
      </c>
      <c r="AL187" s="233">
        <f t="shared" ref="AL187" si="117">AJ187/$L$6*$M$6</f>
        <v>9718220.4293726049</v>
      </c>
      <c r="AM187" s="244">
        <f t="shared" si="88"/>
        <v>6.030125000000063</v>
      </c>
      <c r="AN187" s="245">
        <f t="shared" si="87"/>
        <v>0.21052631578947151</v>
      </c>
    </row>
    <row r="188" spans="32:40" x14ac:dyDescent="0.35">
      <c r="AF188" s="230">
        <f t="shared" ref="AF188:AF198" si="118">AF187+1</f>
        <v>182</v>
      </c>
      <c r="AG188" s="269">
        <f>AG187</f>
        <v>2036</v>
      </c>
      <c r="AH188" s="243" t="s">
        <v>109</v>
      </c>
      <c r="AI188" s="314">
        <f>AI187+31</f>
        <v>49706</v>
      </c>
      <c r="AJ188" s="91">
        <f>AL188/$AL$6*$AJ$6</f>
        <v>7039095.7034932543</v>
      </c>
      <c r="AK188" s="93">
        <f>AL188/AM188</f>
        <v>1578432.0068684916</v>
      </c>
      <c r="AL188" s="94">
        <f>AL187+($AL$19-$AL$7)/12</f>
        <v>9720655.9714906868</v>
      </c>
      <c r="AM188" s="102">
        <f t="shared" si="88"/>
        <v>6.1584255319149586</v>
      </c>
      <c r="AN188" s="235">
        <f t="shared" si="87"/>
        <v>0.20614035087719082</v>
      </c>
    </row>
    <row r="189" spans="32:40" x14ac:dyDescent="0.35">
      <c r="AF189" s="230">
        <f t="shared" si="118"/>
        <v>183</v>
      </c>
      <c r="AG189" s="270">
        <f t="shared" ref="AG189:AG198" si="119">AG188</f>
        <v>2036</v>
      </c>
      <c r="AH189" s="243" t="s">
        <v>110</v>
      </c>
      <c r="AI189" s="314">
        <f>AI188+29</f>
        <v>49735</v>
      </c>
      <c r="AJ189" s="91">
        <f t="shared" ref="AJ189:AJ198" si="120">AL189/$AL$6*$AJ$6</f>
        <v>7040859.3719235882</v>
      </c>
      <c r="AK189" s="93">
        <f t="shared" ref="AK189:AK198" si="121">AL189/AM189</f>
        <v>1545235.4139494018</v>
      </c>
      <c r="AL189" s="94">
        <f t="shared" ref="AL189:AL198" si="122">AL188+($AL$19-$AL$7)/12</f>
        <v>9723091.5136087686</v>
      </c>
      <c r="AM189" s="102">
        <f t="shared" si="88"/>
        <v>6.2923043478261542</v>
      </c>
      <c r="AN189" s="235">
        <f t="shared" si="87"/>
        <v>0.20175438596491013</v>
      </c>
    </row>
    <row r="190" spans="32:40" x14ac:dyDescent="0.35">
      <c r="AF190" s="230">
        <f t="shared" si="118"/>
        <v>184</v>
      </c>
      <c r="AG190" s="270">
        <f t="shared" si="119"/>
        <v>2036</v>
      </c>
      <c r="AH190" s="243" t="s">
        <v>111</v>
      </c>
      <c r="AI190" s="314">
        <f>AI189+31</f>
        <v>49766</v>
      </c>
      <c r="AJ190" s="91">
        <f t="shared" si="120"/>
        <v>7042623.040353924</v>
      </c>
      <c r="AK190" s="93">
        <f t="shared" si="121"/>
        <v>1512021.9920389417</v>
      </c>
      <c r="AL190" s="94">
        <f t="shared" si="122"/>
        <v>9725527.0557268504</v>
      </c>
      <c r="AM190" s="102">
        <f t="shared" si="88"/>
        <v>6.432133333333403</v>
      </c>
      <c r="AN190" s="235">
        <f t="shared" si="87"/>
        <v>0.19736842105262944</v>
      </c>
    </row>
    <row r="191" spans="32:40" x14ac:dyDescent="0.35">
      <c r="AF191" s="230">
        <f t="shared" si="118"/>
        <v>185</v>
      </c>
      <c r="AG191" s="270">
        <f t="shared" si="119"/>
        <v>2036</v>
      </c>
      <c r="AH191" s="243" t="s">
        <v>112</v>
      </c>
      <c r="AI191" s="314">
        <f t="shared" ref="AI191:AI198" si="123">AI190+30</f>
        <v>49796</v>
      </c>
      <c r="AJ191" s="91">
        <f t="shared" si="120"/>
        <v>7044386.7087842599</v>
      </c>
      <c r="AK191" s="93">
        <f t="shared" si="121"/>
        <v>1478791.7411371113</v>
      </c>
      <c r="AL191" s="94">
        <f t="shared" si="122"/>
        <v>9727962.5978449322</v>
      </c>
      <c r="AM191" s="102">
        <f t="shared" si="88"/>
        <v>6.5783181818182541</v>
      </c>
      <c r="AN191" s="235">
        <f t="shared" si="87"/>
        <v>0.19298245614034876</v>
      </c>
    </row>
    <row r="192" spans="32:40" x14ac:dyDescent="0.35">
      <c r="AF192" s="230">
        <f t="shared" si="118"/>
        <v>186</v>
      </c>
      <c r="AG192" s="273">
        <f t="shared" si="119"/>
        <v>2036</v>
      </c>
      <c r="AH192" s="243" t="s">
        <v>113</v>
      </c>
      <c r="AI192" s="314">
        <f>AI191+31</f>
        <v>49827</v>
      </c>
      <c r="AJ192" s="91">
        <f t="shared" si="120"/>
        <v>7046150.3772145938</v>
      </c>
      <c r="AK192" s="93">
        <f t="shared" si="121"/>
        <v>1445544.6612439104</v>
      </c>
      <c r="AL192" s="94">
        <f t="shared" si="122"/>
        <v>9730398.1399630141</v>
      </c>
      <c r="AM192" s="102">
        <f t="shared" si="88"/>
        <v>6.7313023255814706</v>
      </c>
      <c r="AN192" s="235">
        <f t="shared" si="87"/>
        <v>0.18859649122806807</v>
      </c>
    </row>
    <row r="193" spans="32:40" x14ac:dyDescent="0.35">
      <c r="AF193" s="230">
        <f t="shared" si="118"/>
        <v>187</v>
      </c>
      <c r="AG193" s="270">
        <f t="shared" si="119"/>
        <v>2036</v>
      </c>
      <c r="AH193" s="243" t="s">
        <v>114</v>
      </c>
      <c r="AI193" s="314">
        <f t="shared" si="123"/>
        <v>49857</v>
      </c>
      <c r="AJ193" s="91">
        <f t="shared" si="120"/>
        <v>7047914.0456449287</v>
      </c>
      <c r="AK193" s="93">
        <f t="shared" si="121"/>
        <v>1412280.7523593395</v>
      </c>
      <c r="AL193" s="94">
        <f t="shared" si="122"/>
        <v>9732833.6820810959</v>
      </c>
      <c r="AM193" s="102">
        <f t="shared" si="88"/>
        <v>6.8915714285715071</v>
      </c>
      <c r="AN193" s="235">
        <f t="shared" si="87"/>
        <v>0.18421052631578738</v>
      </c>
    </row>
    <row r="194" spans="32:40" x14ac:dyDescent="0.35">
      <c r="AF194" s="230">
        <f t="shared" si="118"/>
        <v>188</v>
      </c>
      <c r="AG194" s="270">
        <f t="shared" si="119"/>
        <v>2036</v>
      </c>
      <c r="AH194" s="243" t="s">
        <v>115</v>
      </c>
      <c r="AI194" s="314">
        <f>AI193+31</f>
        <v>49888</v>
      </c>
      <c r="AJ194" s="91">
        <f t="shared" si="120"/>
        <v>7049677.7140752645</v>
      </c>
      <c r="AK194" s="93">
        <f t="shared" si="121"/>
        <v>1379000.0144833981</v>
      </c>
      <c r="AL194" s="94">
        <f t="shared" si="122"/>
        <v>9735269.2241991777</v>
      </c>
      <c r="AM194" s="102">
        <f t="shared" si="88"/>
        <v>7.0596585365854478</v>
      </c>
      <c r="AN194" s="235">
        <f t="shared" si="87"/>
        <v>0.17982456140350669</v>
      </c>
    </row>
    <row r="195" spans="32:40" x14ac:dyDescent="0.35">
      <c r="AF195" s="230">
        <f t="shared" si="118"/>
        <v>189</v>
      </c>
      <c r="AG195" s="270">
        <f t="shared" si="119"/>
        <v>2036</v>
      </c>
      <c r="AH195" s="243" t="s">
        <v>116</v>
      </c>
      <c r="AI195" s="314">
        <f>AI194+31</f>
        <v>49919</v>
      </c>
      <c r="AJ195" s="91">
        <f t="shared" si="120"/>
        <v>7051441.3825055994</v>
      </c>
      <c r="AK195" s="93">
        <f t="shared" si="121"/>
        <v>1345702.4476160866</v>
      </c>
      <c r="AL195" s="94">
        <f t="shared" si="122"/>
        <v>9737704.7663172595</v>
      </c>
      <c r="AM195" s="102">
        <f t="shared" si="88"/>
        <v>7.2361500000000856</v>
      </c>
      <c r="AN195" s="235">
        <f t="shared" si="87"/>
        <v>0.17543859649122601</v>
      </c>
    </row>
    <row r="196" spans="32:40" x14ac:dyDescent="0.35">
      <c r="AF196" s="230">
        <f t="shared" si="118"/>
        <v>190</v>
      </c>
      <c r="AG196" s="270">
        <f t="shared" si="119"/>
        <v>2036</v>
      </c>
      <c r="AH196" s="243" t="s">
        <v>117</v>
      </c>
      <c r="AI196" s="314">
        <f t="shared" si="123"/>
        <v>49949</v>
      </c>
      <c r="AJ196" s="91">
        <f t="shared" si="120"/>
        <v>7053205.0509359343</v>
      </c>
      <c r="AK196" s="93">
        <f t="shared" si="121"/>
        <v>1312388.0517574046</v>
      </c>
      <c r="AL196" s="94">
        <f t="shared" si="122"/>
        <v>9740140.3084353413</v>
      </c>
      <c r="AM196" s="102">
        <f t="shared" si="88"/>
        <v>7.4216923076923971</v>
      </c>
      <c r="AN196" s="235">
        <f t="shared" si="87"/>
        <v>0.17105263157894532</v>
      </c>
    </row>
    <row r="197" spans="32:40" x14ac:dyDescent="0.35">
      <c r="AF197" s="230">
        <f t="shared" si="118"/>
        <v>191</v>
      </c>
      <c r="AG197" s="270">
        <f t="shared" si="119"/>
        <v>2036</v>
      </c>
      <c r="AH197" s="243" t="s">
        <v>118</v>
      </c>
      <c r="AI197" s="314">
        <f>AI196+31</f>
        <v>49980</v>
      </c>
      <c r="AJ197" s="91">
        <f t="shared" si="120"/>
        <v>7054968.7193662701</v>
      </c>
      <c r="AK197" s="93">
        <f t="shared" si="121"/>
        <v>1279056.8269073525</v>
      </c>
      <c r="AL197" s="94">
        <f t="shared" si="122"/>
        <v>9742575.8505534232</v>
      </c>
      <c r="AM197" s="102">
        <f t="shared" si="88"/>
        <v>7.6170000000000933</v>
      </c>
      <c r="AN197" s="235">
        <f t="shared" si="87"/>
        <v>0.16666666666666463</v>
      </c>
    </row>
    <row r="198" spans="32:40" ht="15" thickBot="1" x14ac:dyDescent="0.4">
      <c r="AF198" s="236">
        <f t="shared" si="118"/>
        <v>192</v>
      </c>
      <c r="AG198" s="272">
        <f t="shared" si="119"/>
        <v>2036</v>
      </c>
      <c r="AH198" s="246" t="s">
        <v>119</v>
      </c>
      <c r="AI198" s="315">
        <f t="shared" si="123"/>
        <v>50010</v>
      </c>
      <c r="AJ198" s="238">
        <f t="shared" si="120"/>
        <v>7056732.387796605</v>
      </c>
      <c r="AK198" s="239">
        <f t="shared" si="121"/>
        <v>1245708.77306593</v>
      </c>
      <c r="AL198" s="240">
        <f t="shared" si="122"/>
        <v>9745011.392671505</v>
      </c>
      <c r="AM198" s="241">
        <f t="shared" si="88"/>
        <v>7.8228648648649628</v>
      </c>
      <c r="AN198" s="242">
        <f t="shared" si="87"/>
        <v>0.16228070175438394</v>
      </c>
    </row>
    <row r="199" spans="32:40" x14ac:dyDescent="0.35">
      <c r="AF199" s="230">
        <f>AF198+1</f>
        <v>193</v>
      </c>
      <c r="AG199" s="269">
        <f>AG187+1</f>
        <v>2037</v>
      </c>
      <c r="AH199" s="231" t="s">
        <v>108</v>
      </c>
      <c r="AI199" s="312">
        <v>50041</v>
      </c>
      <c r="AJ199" s="232">
        <f>AL187</f>
        <v>9718220.4293726049</v>
      </c>
      <c r="AK199" s="93">
        <f>AL199/AM199</f>
        <v>1669169.3340389298</v>
      </c>
      <c r="AL199" s="233">
        <f t="shared" ref="AL199" si="124">AJ199/$L$6*$M$6</f>
        <v>13420399.640562173</v>
      </c>
      <c r="AM199" s="244">
        <f t="shared" si="88"/>
        <v>8.040166666666769</v>
      </c>
      <c r="AN199" s="245">
        <f t="shared" si="87"/>
        <v>0.15789473684210326</v>
      </c>
    </row>
    <row r="200" spans="32:40" x14ac:dyDescent="0.35">
      <c r="AF200" s="230">
        <f t="shared" ref="AF200:AF210" si="125">AF199+1</f>
        <v>194</v>
      </c>
      <c r="AG200" s="269">
        <f>AG199</f>
        <v>2037</v>
      </c>
      <c r="AH200" s="231" t="s">
        <v>109</v>
      </c>
      <c r="AI200" s="312">
        <f>AI199+31</f>
        <v>50072</v>
      </c>
      <c r="AJ200" s="91">
        <f>AL200/$AL$6*$AJ$6</f>
        <v>9719984.0978029389</v>
      </c>
      <c r="AK200" s="93">
        <f>AL200/AM200</f>
        <v>1623098.0265534946</v>
      </c>
      <c r="AL200" s="94">
        <f>AL199+($AL$19-$AL$7)/12</f>
        <v>13422835.182680255</v>
      </c>
      <c r="AM200" s="102">
        <f t="shared" si="88"/>
        <v>8.269885714285822</v>
      </c>
      <c r="AN200" s="235">
        <f t="shared" ref="AN200:AN235" si="126">AN199-($P$7-$P$8)/12</f>
        <v>0.15350877192982257</v>
      </c>
    </row>
    <row r="201" spans="32:40" x14ac:dyDescent="0.35">
      <c r="AF201" s="230">
        <f t="shared" si="125"/>
        <v>195</v>
      </c>
      <c r="AG201" s="270">
        <f t="shared" ref="AG201:AG210" si="127">AG200</f>
        <v>2037</v>
      </c>
      <c r="AH201" s="231" t="s">
        <v>110</v>
      </c>
      <c r="AI201" s="312">
        <f>AI200+28</f>
        <v>50100</v>
      </c>
      <c r="AJ201" s="91">
        <f t="shared" ref="AJ201:AJ210" si="128">AL201/$AL$6*$AJ$6</f>
        <v>9721747.7662332766</v>
      </c>
      <c r="AK201" s="93">
        <f t="shared" ref="AK201:AK210" si="129">AL201/AM201</f>
        <v>1577009.890076689</v>
      </c>
      <c r="AL201" s="94">
        <f t="shared" ref="AL201:AL210" si="130">AL200+($AL$19-$AL$7)/12</f>
        <v>13425270.724798337</v>
      </c>
      <c r="AM201" s="102">
        <f t="shared" ref="AM201:AM234" si="131">$O$6/AN201</f>
        <v>8.5131176470589374</v>
      </c>
      <c r="AN201" s="235">
        <f t="shared" si="126"/>
        <v>0.14912280701754188</v>
      </c>
    </row>
    <row r="202" spans="32:40" x14ac:dyDescent="0.35">
      <c r="AF202" s="230">
        <f t="shared" si="125"/>
        <v>196</v>
      </c>
      <c r="AG202" s="270">
        <f t="shared" si="127"/>
        <v>2037</v>
      </c>
      <c r="AH202" s="231" t="s">
        <v>111</v>
      </c>
      <c r="AI202" s="312">
        <f t="shared" ref="AI202:AI209" si="132">AI201+31</f>
        <v>50131</v>
      </c>
      <c r="AJ202" s="91">
        <f t="shared" si="128"/>
        <v>9723511.4346636105</v>
      </c>
      <c r="AK202" s="93">
        <f t="shared" si="129"/>
        <v>1530904.9246085132</v>
      </c>
      <c r="AL202" s="94">
        <f t="shared" si="130"/>
        <v>13427706.266916418</v>
      </c>
      <c r="AM202" s="102">
        <f t="shared" si="131"/>
        <v>8.7710909090910292</v>
      </c>
      <c r="AN202" s="235">
        <f t="shared" si="126"/>
        <v>0.14473684210526119</v>
      </c>
    </row>
    <row r="203" spans="32:40" x14ac:dyDescent="0.35">
      <c r="AF203" s="230">
        <f t="shared" si="125"/>
        <v>197</v>
      </c>
      <c r="AG203" s="270">
        <f t="shared" si="127"/>
        <v>2037</v>
      </c>
      <c r="AH203" s="231" t="s">
        <v>112</v>
      </c>
      <c r="AI203" s="312">
        <f>AI202+30</f>
        <v>50161</v>
      </c>
      <c r="AJ203" s="91">
        <f t="shared" si="128"/>
        <v>9725275.1030939445</v>
      </c>
      <c r="AK203" s="93">
        <f t="shared" si="129"/>
        <v>1484783.1301489673</v>
      </c>
      <c r="AL203" s="94">
        <f t="shared" si="130"/>
        <v>13430141.8090345</v>
      </c>
      <c r="AM203" s="102">
        <f t="shared" si="131"/>
        <v>9.0451875000001269</v>
      </c>
      <c r="AN203" s="235">
        <f t="shared" si="126"/>
        <v>0.14035087719298051</v>
      </c>
    </row>
    <row r="204" spans="32:40" x14ac:dyDescent="0.35">
      <c r="AF204" s="230">
        <f t="shared" si="125"/>
        <v>198</v>
      </c>
      <c r="AG204" s="273">
        <f t="shared" si="127"/>
        <v>2037</v>
      </c>
      <c r="AH204" s="231" t="s">
        <v>113</v>
      </c>
      <c r="AI204" s="312">
        <f t="shared" si="132"/>
        <v>50192</v>
      </c>
      <c r="AJ204" s="91">
        <f t="shared" si="128"/>
        <v>9727038.7715242822</v>
      </c>
      <c r="AK204" s="93">
        <f t="shared" si="129"/>
        <v>1438644.5066980512</v>
      </c>
      <c r="AL204" s="94">
        <f t="shared" si="130"/>
        <v>13432577.351152582</v>
      </c>
      <c r="AM204" s="102">
        <f t="shared" si="131"/>
        <v>9.3369677419356165</v>
      </c>
      <c r="AN204" s="235">
        <f t="shared" si="126"/>
        <v>0.13596491228069982</v>
      </c>
    </row>
    <row r="205" spans="32:40" x14ac:dyDescent="0.35">
      <c r="AF205" s="230">
        <f t="shared" si="125"/>
        <v>199</v>
      </c>
      <c r="AG205" s="270">
        <f t="shared" si="127"/>
        <v>2037</v>
      </c>
      <c r="AH205" s="231" t="s">
        <v>114</v>
      </c>
      <c r="AI205" s="312">
        <f>AI204+30</f>
        <v>50222</v>
      </c>
      <c r="AJ205" s="91">
        <f t="shared" si="128"/>
        <v>9728802.4399546161</v>
      </c>
      <c r="AK205" s="93">
        <f t="shared" si="129"/>
        <v>1392489.0542557645</v>
      </c>
      <c r="AL205" s="94">
        <f t="shared" si="130"/>
        <v>13435012.893270664</v>
      </c>
      <c r="AM205" s="102">
        <f t="shared" si="131"/>
        <v>9.6482000000001413</v>
      </c>
      <c r="AN205" s="235">
        <f t="shared" si="126"/>
        <v>0.13157894736841913</v>
      </c>
    </row>
    <row r="206" spans="32:40" x14ac:dyDescent="0.35">
      <c r="AF206" s="230">
        <f t="shared" si="125"/>
        <v>200</v>
      </c>
      <c r="AG206" s="270">
        <f t="shared" si="127"/>
        <v>2037</v>
      </c>
      <c r="AH206" s="231" t="s">
        <v>115</v>
      </c>
      <c r="AI206" s="312">
        <f t="shared" si="132"/>
        <v>50253</v>
      </c>
      <c r="AJ206" s="91">
        <f t="shared" si="128"/>
        <v>9730566.1083849501</v>
      </c>
      <c r="AK206" s="93">
        <f t="shared" si="129"/>
        <v>1346316.7728221074</v>
      </c>
      <c r="AL206" s="94">
        <f t="shared" si="130"/>
        <v>13437448.435388746</v>
      </c>
      <c r="AM206" s="102">
        <f t="shared" si="131"/>
        <v>9.9808965517242889</v>
      </c>
      <c r="AN206" s="235">
        <f t="shared" si="126"/>
        <v>0.12719298245613844</v>
      </c>
    </row>
    <row r="207" spans="32:40" x14ac:dyDescent="0.35">
      <c r="AF207" s="230">
        <f t="shared" si="125"/>
        <v>201</v>
      </c>
      <c r="AG207" s="270">
        <f t="shared" si="127"/>
        <v>2037</v>
      </c>
      <c r="AH207" s="231" t="s">
        <v>116</v>
      </c>
      <c r="AI207" s="312">
        <f t="shared" si="132"/>
        <v>50284</v>
      </c>
      <c r="AJ207" s="91">
        <f t="shared" si="128"/>
        <v>9732329.7768152859</v>
      </c>
      <c r="AK207" s="93">
        <f t="shared" si="129"/>
        <v>1300127.6623970803</v>
      </c>
      <c r="AL207" s="94">
        <f t="shared" si="130"/>
        <v>13439883.977506828</v>
      </c>
      <c r="AM207" s="102">
        <f t="shared" si="131"/>
        <v>10.337357142857304</v>
      </c>
      <c r="AN207" s="235">
        <f t="shared" si="126"/>
        <v>0.12280701754385774</v>
      </c>
    </row>
    <row r="208" spans="32:40" x14ac:dyDescent="0.35">
      <c r="AF208" s="230">
        <f t="shared" si="125"/>
        <v>202</v>
      </c>
      <c r="AG208" s="270">
        <f t="shared" si="127"/>
        <v>2037</v>
      </c>
      <c r="AH208" s="231" t="s">
        <v>117</v>
      </c>
      <c r="AI208" s="312">
        <f>AI207+30</f>
        <v>50314</v>
      </c>
      <c r="AJ208" s="91">
        <f t="shared" si="128"/>
        <v>9734093.4452456217</v>
      </c>
      <c r="AK208" s="93">
        <f t="shared" si="129"/>
        <v>1253921.7229806827</v>
      </c>
      <c r="AL208" s="94">
        <f t="shared" si="130"/>
        <v>13442319.519624909</v>
      </c>
      <c r="AM208" s="102">
        <f t="shared" si="131"/>
        <v>10.720222222222395</v>
      </c>
      <c r="AN208" s="235">
        <f t="shared" si="126"/>
        <v>0.11842105263157704</v>
      </c>
    </row>
    <row r="209" spans="32:40" x14ac:dyDescent="0.35">
      <c r="AF209" s="230">
        <f t="shared" si="125"/>
        <v>203</v>
      </c>
      <c r="AG209" s="270">
        <f t="shared" si="127"/>
        <v>2037</v>
      </c>
      <c r="AH209" s="231" t="s">
        <v>118</v>
      </c>
      <c r="AI209" s="312">
        <f t="shared" si="132"/>
        <v>50345</v>
      </c>
      <c r="AJ209" s="91">
        <f t="shared" si="128"/>
        <v>9735857.1136759557</v>
      </c>
      <c r="AK209" s="93">
        <f t="shared" si="129"/>
        <v>1207698.9545729149</v>
      </c>
      <c r="AL209" s="94">
        <f t="shared" si="130"/>
        <v>13444755.061742991</v>
      </c>
      <c r="AM209" s="102">
        <f t="shared" si="131"/>
        <v>11.132538461538648</v>
      </c>
      <c r="AN209" s="235">
        <f t="shared" si="126"/>
        <v>0.11403508771929634</v>
      </c>
    </row>
    <row r="210" spans="32:40" ht="15" thickBot="1" x14ac:dyDescent="0.4">
      <c r="AF210" s="236">
        <f t="shared" si="125"/>
        <v>204</v>
      </c>
      <c r="AG210" s="272">
        <f t="shared" si="127"/>
        <v>2037</v>
      </c>
      <c r="AH210" s="237" t="s">
        <v>119</v>
      </c>
      <c r="AI210" s="313">
        <f>AI209+30</f>
        <v>50375</v>
      </c>
      <c r="AJ210" s="238">
        <f t="shared" si="128"/>
        <v>9737620.7821062915</v>
      </c>
      <c r="AK210" s="239">
        <f t="shared" si="129"/>
        <v>1161459.3571737765</v>
      </c>
      <c r="AL210" s="240">
        <f t="shared" si="130"/>
        <v>13447190.603861073</v>
      </c>
      <c r="AM210" s="241">
        <f t="shared" si="131"/>
        <v>11.577840000000203</v>
      </c>
      <c r="AN210" s="242">
        <f t="shared" si="126"/>
        <v>0.10964912280701564</v>
      </c>
    </row>
    <row r="211" spans="32:40" x14ac:dyDescent="0.35">
      <c r="AF211" s="230">
        <f>AF210+1</f>
        <v>205</v>
      </c>
      <c r="AG211" s="269">
        <f>AG199+1</f>
        <v>2038</v>
      </c>
      <c r="AH211" s="243" t="s">
        <v>108</v>
      </c>
      <c r="AI211" s="314">
        <f>AI210+31</f>
        <v>50406</v>
      </c>
      <c r="AJ211" s="232">
        <f>AL199</f>
        <v>13420399.640562173</v>
      </c>
      <c r="AK211" s="93">
        <f>AL211/AM211</f>
        <v>1536695.5773691656</v>
      </c>
      <c r="AL211" s="233">
        <f t="shared" ref="AL211" si="133">AJ211/$L$6*$M$6</f>
        <v>18532932.836966816</v>
      </c>
      <c r="AM211" s="244">
        <f t="shared" si="131"/>
        <v>12.060250000000218</v>
      </c>
      <c r="AN211" s="245">
        <f t="shared" si="126"/>
        <v>0.10526315789473494</v>
      </c>
    </row>
    <row r="212" spans="32:40" x14ac:dyDescent="0.35">
      <c r="AF212" s="230">
        <f t="shared" ref="AF212:AF222" si="134">AF211+1</f>
        <v>206</v>
      </c>
      <c r="AG212" s="269">
        <f>AG211</f>
        <v>2038</v>
      </c>
      <c r="AH212" s="243" t="s">
        <v>109</v>
      </c>
      <c r="AI212" s="314">
        <f>AI211+31</f>
        <v>50437</v>
      </c>
      <c r="AJ212" s="91">
        <f>AL212/$AL$6*$AJ$6</f>
        <v>13422163.308992509</v>
      </c>
      <c r="AK212" s="93">
        <f>AL212/AM212</f>
        <v>1472860.1283795405</v>
      </c>
      <c r="AL212" s="94">
        <f>AL211+($AL$19-$AL$7)/12</f>
        <v>18535368.379084896</v>
      </c>
      <c r="AM212" s="102">
        <f t="shared" si="131"/>
        <v>12.584608695652413</v>
      </c>
      <c r="AN212" s="235">
        <f t="shared" si="126"/>
        <v>0.10087719298245423</v>
      </c>
    </row>
    <row r="213" spans="32:40" x14ac:dyDescent="0.35">
      <c r="AF213" s="230">
        <f t="shared" si="134"/>
        <v>207</v>
      </c>
      <c r="AG213" s="270">
        <f t="shared" ref="AG213:AG222" si="135">AG212</f>
        <v>2038</v>
      </c>
      <c r="AH213" s="243" t="s">
        <v>110</v>
      </c>
      <c r="AI213" s="314">
        <f>AI212+28</f>
        <v>50465</v>
      </c>
      <c r="AJ213" s="91">
        <f t="shared" ref="AJ213:AJ222" si="136">AL213/$AL$6*$AJ$6</f>
        <v>13423926.977422841</v>
      </c>
      <c r="AK213" s="93">
        <f t="shared" ref="AK213:AK222" si="137">AL213/AM213</f>
        <v>1409007.8503985456</v>
      </c>
      <c r="AL213" s="94">
        <f t="shared" ref="AL213:AL222" si="138">AL212+($AL$19-$AL$7)/12</f>
        <v>18537803.921202976</v>
      </c>
      <c r="AM213" s="102">
        <f t="shared" si="131"/>
        <v>13.156636363636624</v>
      </c>
      <c r="AN213" s="235">
        <f t="shared" si="126"/>
        <v>9.6491228070173532E-2</v>
      </c>
    </row>
    <row r="214" spans="32:40" x14ac:dyDescent="0.35">
      <c r="AF214" s="230">
        <f t="shared" si="134"/>
        <v>208</v>
      </c>
      <c r="AG214" s="270">
        <f t="shared" si="135"/>
        <v>2038</v>
      </c>
      <c r="AH214" s="243" t="s">
        <v>111</v>
      </c>
      <c r="AI214" s="314">
        <f>AI213+31</f>
        <v>50496</v>
      </c>
      <c r="AJ214" s="91">
        <f t="shared" si="136"/>
        <v>13425690.645853175</v>
      </c>
      <c r="AK214" s="93">
        <f t="shared" si="137"/>
        <v>1345138.74342618</v>
      </c>
      <c r="AL214" s="94">
        <f t="shared" si="138"/>
        <v>18540239.463321056</v>
      </c>
      <c r="AM214" s="102">
        <f t="shared" si="131"/>
        <v>13.783142857143144</v>
      </c>
      <c r="AN214" s="235">
        <f t="shared" si="126"/>
        <v>9.210526315789283E-2</v>
      </c>
    </row>
    <row r="215" spans="32:40" x14ac:dyDescent="0.35">
      <c r="AF215" s="230">
        <f t="shared" si="134"/>
        <v>209</v>
      </c>
      <c r="AG215" s="270">
        <f t="shared" si="135"/>
        <v>2038</v>
      </c>
      <c r="AH215" s="243" t="s">
        <v>112</v>
      </c>
      <c r="AI215" s="314">
        <f t="shared" ref="AI215:AI222" si="139">AI214+30</f>
        <v>50526</v>
      </c>
      <c r="AJ215" s="91">
        <f t="shared" si="136"/>
        <v>13427454.314283509</v>
      </c>
      <c r="AK215" s="93">
        <f t="shared" si="137"/>
        <v>1281252.8074624443</v>
      </c>
      <c r="AL215" s="94">
        <f t="shared" si="138"/>
        <v>18542675.005439136</v>
      </c>
      <c r="AM215" s="102">
        <f t="shared" si="131"/>
        <v>14.472300000000315</v>
      </c>
      <c r="AN215" s="235">
        <f t="shared" si="126"/>
        <v>8.7719298245612129E-2</v>
      </c>
    </row>
    <row r="216" spans="32:40" x14ac:dyDescent="0.35">
      <c r="AF216" s="230">
        <f t="shared" si="134"/>
        <v>210</v>
      </c>
      <c r="AG216" s="273">
        <f t="shared" si="135"/>
        <v>2038</v>
      </c>
      <c r="AH216" s="243" t="s">
        <v>113</v>
      </c>
      <c r="AI216" s="314">
        <f>AI215+31</f>
        <v>50557</v>
      </c>
      <c r="AJ216" s="91">
        <f t="shared" si="136"/>
        <v>13429217.982713841</v>
      </c>
      <c r="AK216" s="93">
        <f t="shared" si="137"/>
        <v>1217350.0425073381</v>
      </c>
      <c r="AL216" s="94">
        <f t="shared" si="138"/>
        <v>18545110.547557216</v>
      </c>
      <c r="AM216" s="102">
        <f t="shared" si="131"/>
        <v>15.23400000000035</v>
      </c>
      <c r="AN216" s="235">
        <f t="shared" si="126"/>
        <v>8.3333333333331427E-2</v>
      </c>
    </row>
    <row r="217" spans="32:40" x14ac:dyDescent="0.35">
      <c r="AF217" s="230">
        <f t="shared" si="134"/>
        <v>211</v>
      </c>
      <c r="AG217" s="270">
        <f t="shared" si="135"/>
        <v>2038</v>
      </c>
      <c r="AH217" s="243" t="s">
        <v>114</v>
      </c>
      <c r="AI217" s="314">
        <f t="shared" si="139"/>
        <v>50587</v>
      </c>
      <c r="AJ217" s="91">
        <f t="shared" si="136"/>
        <v>13430981.651144177</v>
      </c>
      <c r="AK217" s="93">
        <f t="shared" si="137"/>
        <v>1153430.4485608619</v>
      </c>
      <c r="AL217" s="94">
        <f t="shared" si="138"/>
        <v>18547546.089675296</v>
      </c>
      <c r="AM217" s="102">
        <f t="shared" si="131"/>
        <v>16.080333333333723</v>
      </c>
      <c r="AN217" s="235">
        <f t="shared" si="126"/>
        <v>7.8947368421050726E-2</v>
      </c>
    </row>
    <row r="218" spans="32:40" x14ac:dyDescent="0.35">
      <c r="AF218" s="230">
        <f t="shared" si="134"/>
        <v>212</v>
      </c>
      <c r="AG218" s="270">
        <f t="shared" si="135"/>
        <v>2038</v>
      </c>
      <c r="AH218" s="243" t="s">
        <v>115</v>
      </c>
      <c r="AI218" s="314">
        <f>AI217+31</f>
        <v>50618</v>
      </c>
      <c r="AJ218" s="91">
        <f t="shared" si="136"/>
        <v>13432745.319574509</v>
      </c>
      <c r="AK218" s="93">
        <f t="shared" si="137"/>
        <v>1089494.0256230154</v>
      </c>
      <c r="AL218" s="94">
        <f t="shared" si="138"/>
        <v>18549981.631793376</v>
      </c>
      <c r="AM218" s="102">
        <f t="shared" si="131"/>
        <v>17.026235294118084</v>
      </c>
      <c r="AN218" s="235">
        <f t="shared" si="126"/>
        <v>7.4561403508770024E-2</v>
      </c>
    </row>
    <row r="219" spans="32:40" x14ac:dyDescent="0.35">
      <c r="AF219" s="230">
        <f t="shared" si="134"/>
        <v>213</v>
      </c>
      <c r="AG219" s="270">
        <f t="shared" si="135"/>
        <v>2038</v>
      </c>
      <c r="AH219" s="243" t="s">
        <v>116</v>
      </c>
      <c r="AI219" s="314">
        <f>AI218+31</f>
        <v>50649</v>
      </c>
      <c r="AJ219" s="91">
        <f t="shared" si="136"/>
        <v>13434508.988004845</v>
      </c>
      <c r="AK219" s="93">
        <f t="shared" si="137"/>
        <v>1025540.7736937986</v>
      </c>
      <c r="AL219" s="94">
        <f t="shared" si="138"/>
        <v>18552417.173911456</v>
      </c>
      <c r="AM219" s="102">
        <f t="shared" si="131"/>
        <v>18.090375000000492</v>
      </c>
      <c r="AN219" s="235">
        <f t="shared" si="126"/>
        <v>7.0175438596489323E-2</v>
      </c>
    </row>
    <row r="220" spans="32:40" x14ac:dyDescent="0.35">
      <c r="AF220" s="230">
        <f t="shared" si="134"/>
        <v>214</v>
      </c>
      <c r="AG220" s="270">
        <f t="shared" si="135"/>
        <v>2038</v>
      </c>
      <c r="AH220" s="243" t="s">
        <v>117</v>
      </c>
      <c r="AI220" s="314">
        <f t="shared" si="139"/>
        <v>50679</v>
      </c>
      <c r="AJ220" s="91">
        <f t="shared" si="136"/>
        <v>13436272.656435177</v>
      </c>
      <c r="AK220" s="93">
        <f t="shared" si="137"/>
        <v>961570.69277321151</v>
      </c>
      <c r="AL220" s="94">
        <f t="shared" si="138"/>
        <v>18554852.716029536</v>
      </c>
      <c r="AM220" s="102">
        <f t="shared" si="131"/>
        <v>19.29640000000056</v>
      </c>
      <c r="AN220" s="235">
        <f t="shared" si="126"/>
        <v>6.5789473684208621E-2</v>
      </c>
    </row>
    <row r="221" spans="32:40" x14ac:dyDescent="0.35">
      <c r="AF221" s="230">
        <f t="shared" si="134"/>
        <v>215</v>
      </c>
      <c r="AG221" s="270">
        <f t="shared" si="135"/>
        <v>2038</v>
      </c>
      <c r="AH221" s="243" t="s">
        <v>118</v>
      </c>
      <c r="AI221" s="314">
        <f>AI220+31</f>
        <v>50710</v>
      </c>
      <c r="AJ221" s="91">
        <f t="shared" si="136"/>
        <v>13438036.324865513</v>
      </c>
      <c r="AK221" s="93">
        <f t="shared" si="137"/>
        <v>897583.78286125418</v>
      </c>
      <c r="AL221" s="94">
        <f t="shared" si="138"/>
        <v>18557288.258147616</v>
      </c>
      <c r="AM221" s="102">
        <f t="shared" si="131"/>
        <v>20.674714285714927</v>
      </c>
      <c r="AN221" s="235">
        <f t="shared" si="126"/>
        <v>6.1403508771927927E-2</v>
      </c>
    </row>
    <row r="222" spans="32:40" ht="15" thickBot="1" x14ac:dyDescent="0.4">
      <c r="AF222" s="236">
        <f t="shared" si="134"/>
        <v>216</v>
      </c>
      <c r="AG222" s="272">
        <f t="shared" si="135"/>
        <v>2038</v>
      </c>
      <c r="AH222" s="246" t="s">
        <v>119</v>
      </c>
      <c r="AI222" s="315">
        <f t="shared" si="139"/>
        <v>50740</v>
      </c>
      <c r="AJ222" s="238">
        <f t="shared" si="136"/>
        <v>13439799.993295845</v>
      </c>
      <c r="AK222" s="239">
        <f t="shared" si="137"/>
        <v>833580.04395792668</v>
      </c>
      <c r="AL222" s="240">
        <f t="shared" si="138"/>
        <v>18559723.800265696</v>
      </c>
      <c r="AM222" s="241">
        <f t="shared" si="131"/>
        <v>22.265076923077661</v>
      </c>
      <c r="AN222" s="242">
        <f t="shared" si="126"/>
        <v>5.7017543859647232E-2</v>
      </c>
    </row>
    <row r="223" spans="32:40" x14ac:dyDescent="0.35">
      <c r="AF223" s="230">
        <f>AF222+1</f>
        <v>217</v>
      </c>
      <c r="AG223" s="269">
        <f>AG211+1</f>
        <v>2039</v>
      </c>
      <c r="AH223" s="231" t="s">
        <v>108</v>
      </c>
      <c r="AI223" s="312">
        <v>50771</v>
      </c>
      <c r="AJ223" s="232">
        <f>AL211</f>
        <v>18532932.836966816</v>
      </c>
      <c r="AK223" s="93">
        <f>AL223/AM223</f>
        <v>1061051.7081834532</v>
      </c>
      <c r="AL223" s="233">
        <f t="shared" ref="AL223" si="140">AJ223/$L$6*$M$6</f>
        <v>25593097.727239896</v>
      </c>
      <c r="AM223" s="244">
        <f t="shared" si="131"/>
        <v>24.120500000000863</v>
      </c>
      <c r="AN223" s="245">
        <f t="shared" si="126"/>
        <v>5.2631578947366538E-2</v>
      </c>
    </row>
    <row r="224" spans="32:40" x14ac:dyDescent="0.35">
      <c r="AF224" s="230">
        <f t="shared" ref="AF224:AF234" si="141">AF223+1</f>
        <v>218</v>
      </c>
      <c r="AG224" s="269">
        <f>AG223</f>
        <v>2039</v>
      </c>
      <c r="AH224" s="231" t="s">
        <v>109</v>
      </c>
      <c r="AI224" s="312">
        <f>AI223+31</f>
        <v>50802</v>
      </c>
      <c r="AJ224" s="91">
        <f>AL224/$AL$6*$AJ$6</f>
        <v>18534696.505397152</v>
      </c>
      <c r="AK224" s="93">
        <f>AL224/AM224</f>
        <v>972723.29195403203</v>
      </c>
      <c r="AL224" s="94">
        <f>AL223+($AL$19-$AL$7)/12</f>
        <v>25595533.269357976</v>
      </c>
      <c r="AM224" s="247">
        <f t="shared" si="131"/>
        <v>26.313272727273752</v>
      </c>
      <c r="AN224" s="235">
        <f t="shared" si="126"/>
        <v>4.8245614035085843E-2</v>
      </c>
    </row>
    <row r="225" spans="32:40" x14ac:dyDescent="0.35">
      <c r="AF225" s="230">
        <f t="shared" si="141"/>
        <v>219</v>
      </c>
      <c r="AG225" s="270">
        <f t="shared" ref="AG225:AG234" si="142">AG224</f>
        <v>2039</v>
      </c>
      <c r="AH225" s="231" t="s">
        <v>110</v>
      </c>
      <c r="AI225" s="312">
        <f>AI224+28</f>
        <v>50830</v>
      </c>
      <c r="AJ225" s="91">
        <f t="shared" ref="AJ225:AJ234" si="143">AL225/$AL$6*$AJ$6</f>
        <v>18536460.173827481</v>
      </c>
      <c r="AK225" s="93">
        <f t="shared" ref="AK225:AK234" si="144">AL225/AM225</f>
        <v>884378.04673324083</v>
      </c>
      <c r="AL225" s="94">
        <f t="shared" ref="AL225:AL234" si="145">AL224+($AL$19-$AL$7)/12</f>
        <v>25597968.811476056</v>
      </c>
      <c r="AM225" s="247">
        <f t="shared" si="131"/>
        <v>28.944600000001234</v>
      </c>
      <c r="AN225" s="235">
        <f t="shared" si="126"/>
        <v>4.3859649122805149E-2</v>
      </c>
    </row>
    <row r="226" spans="32:40" x14ac:dyDescent="0.35">
      <c r="AF226" s="230">
        <f t="shared" si="141"/>
        <v>220</v>
      </c>
      <c r="AG226" s="270">
        <f t="shared" si="142"/>
        <v>2039</v>
      </c>
      <c r="AH226" s="231" t="s">
        <v>111</v>
      </c>
      <c r="AI226" s="312">
        <f t="shared" ref="AI226:AI233" si="146">AI225+31</f>
        <v>50861</v>
      </c>
      <c r="AJ226" s="91">
        <f t="shared" si="143"/>
        <v>18538223.842257816</v>
      </c>
      <c r="AK226" s="93">
        <f t="shared" si="144"/>
        <v>796015.97252107935</v>
      </c>
      <c r="AL226" s="94">
        <f t="shared" si="145"/>
        <v>25600404.353594135</v>
      </c>
      <c r="AM226" s="247">
        <f t="shared" si="131"/>
        <v>32.160666666668185</v>
      </c>
      <c r="AN226" s="235">
        <f t="shared" si="126"/>
        <v>3.9473684210524454E-2</v>
      </c>
    </row>
    <row r="227" spans="32:40" x14ac:dyDescent="0.35">
      <c r="AF227" s="230">
        <f t="shared" si="141"/>
        <v>221</v>
      </c>
      <c r="AG227" s="270">
        <f t="shared" si="142"/>
        <v>2039</v>
      </c>
      <c r="AH227" s="231" t="s">
        <v>112</v>
      </c>
      <c r="AI227" s="312">
        <f>AI226+30</f>
        <v>50891</v>
      </c>
      <c r="AJ227" s="91">
        <f t="shared" si="143"/>
        <v>18539987.510688152</v>
      </c>
      <c r="AK227" s="93">
        <f t="shared" si="144"/>
        <v>707637.0693175476</v>
      </c>
      <c r="AL227" s="94">
        <f t="shared" si="145"/>
        <v>25602839.895712215</v>
      </c>
      <c r="AM227" s="247">
        <f t="shared" si="131"/>
        <v>36.180750000001915</v>
      </c>
      <c r="AN227" s="235">
        <f t="shared" si="126"/>
        <v>3.5087719298243759E-2</v>
      </c>
    </row>
    <row r="228" spans="32:40" x14ac:dyDescent="0.35">
      <c r="AF228" s="230">
        <f t="shared" si="141"/>
        <v>222</v>
      </c>
      <c r="AG228" s="273">
        <f t="shared" si="142"/>
        <v>2039</v>
      </c>
      <c r="AH228" s="231" t="s">
        <v>113</v>
      </c>
      <c r="AI228" s="312">
        <f t="shared" si="146"/>
        <v>50922</v>
      </c>
      <c r="AJ228" s="91">
        <f t="shared" si="143"/>
        <v>18541751.179118484</v>
      </c>
      <c r="AK228" s="93">
        <f t="shared" si="144"/>
        <v>619241.33712264546</v>
      </c>
      <c r="AL228" s="94">
        <f t="shared" si="145"/>
        <v>25605275.437830295</v>
      </c>
      <c r="AM228" s="247">
        <f t="shared" si="131"/>
        <v>41.349428571431069</v>
      </c>
      <c r="AN228" s="235">
        <f t="shared" si="126"/>
        <v>3.0701754385963061E-2</v>
      </c>
    </row>
    <row r="229" spans="32:40" x14ac:dyDescent="0.35">
      <c r="AF229" s="230">
        <f t="shared" si="141"/>
        <v>223</v>
      </c>
      <c r="AG229" s="270">
        <f t="shared" si="142"/>
        <v>2039</v>
      </c>
      <c r="AH229" s="231" t="s">
        <v>114</v>
      </c>
      <c r="AI229" s="312">
        <f>AI228+30</f>
        <v>50952</v>
      </c>
      <c r="AJ229" s="91">
        <f t="shared" si="143"/>
        <v>18543514.847548816</v>
      </c>
      <c r="AK229" s="93">
        <f t="shared" si="144"/>
        <v>530828.77593637316</v>
      </c>
      <c r="AL229" s="94">
        <f t="shared" si="145"/>
        <v>25607710.979948375</v>
      </c>
      <c r="AM229" s="247">
        <f t="shared" si="131"/>
        <v>48.241000000003389</v>
      </c>
      <c r="AN229" s="235">
        <f t="shared" si="126"/>
        <v>2.6315789473682363E-2</v>
      </c>
    </row>
    <row r="230" spans="32:40" x14ac:dyDescent="0.35">
      <c r="AF230" s="230">
        <f t="shared" si="141"/>
        <v>224</v>
      </c>
      <c r="AG230" s="270">
        <f t="shared" si="142"/>
        <v>2039</v>
      </c>
      <c r="AH230" s="231" t="s">
        <v>115</v>
      </c>
      <c r="AI230" s="312">
        <f t="shared" si="146"/>
        <v>50983</v>
      </c>
      <c r="AJ230" s="91">
        <f t="shared" si="143"/>
        <v>18545278.515979152</v>
      </c>
      <c r="AK230" s="93">
        <f t="shared" si="144"/>
        <v>442399.38575873047</v>
      </c>
      <c r="AL230" s="94">
        <f t="shared" si="145"/>
        <v>25610146.522066455</v>
      </c>
      <c r="AM230" s="247">
        <f t="shared" si="131"/>
        <v>57.88920000000487</v>
      </c>
      <c r="AN230" s="235">
        <f t="shared" si="126"/>
        <v>2.1929824561401665E-2</v>
      </c>
    </row>
    <row r="231" spans="32:40" x14ac:dyDescent="0.35">
      <c r="AF231" s="230">
        <f t="shared" si="141"/>
        <v>225</v>
      </c>
      <c r="AG231" s="270">
        <f t="shared" si="142"/>
        <v>2039</v>
      </c>
      <c r="AH231" s="231" t="s">
        <v>116</v>
      </c>
      <c r="AI231" s="312">
        <f t="shared" si="146"/>
        <v>51014</v>
      </c>
      <c r="AJ231" s="91">
        <f t="shared" si="143"/>
        <v>18547042.184409488</v>
      </c>
      <c r="AK231" s="93">
        <f t="shared" si="144"/>
        <v>353953.16658971756</v>
      </c>
      <c r="AL231" s="94">
        <f t="shared" si="145"/>
        <v>25612582.064184535</v>
      </c>
      <c r="AM231" s="247">
        <f t="shared" si="131"/>
        <v>72.361500000007595</v>
      </c>
      <c r="AN231" s="235">
        <f t="shared" si="126"/>
        <v>1.7543859649120967E-2</v>
      </c>
    </row>
    <row r="232" spans="32:40" x14ac:dyDescent="0.35">
      <c r="AF232" s="230">
        <f t="shared" si="141"/>
        <v>226</v>
      </c>
      <c r="AG232" s="270">
        <f t="shared" si="142"/>
        <v>2039</v>
      </c>
      <c r="AH232" s="231" t="s">
        <v>117</v>
      </c>
      <c r="AI232" s="312">
        <f>AI231+30</f>
        <v>51044</v>
      </c>
      <c r="AJ232" s="91">
        <f t="shared" si="143"/>
        <v>18548805.852839816</v>
      </c>
      <c r="AK232" s="93">
        <f t="shared" si="144"/>
        <v>265490.11842933437</v>
      </c>
      <c r="AL232" s="94">
        <f t="shared" si="145"/>
        <v>25615017.606302615</v>
      </c>
      <c r="AM232" s="247">
        <f t="shared" si="131"/>
        <v>96.482000000013471</v>
      </c>
      <c r="AN232" s="235">
        <f t="shared" si="126"/>
        <v>1.3157894736840269E-2</v>
      </c>
    </row>
    <row r="233" spans="32:40" x14ac:dyDescent="0.35">
      <c r="AF233" s="230">
        <f t="shared" si="141"/>
        <v>227</v>
      </c>
      <c r="AG233" s="270">
        <f t="shared" si="142"/>
        <v>2039</v>
      </c>
      <c r="AH233" s="231" t="s">
        <v>118</v>
      </c>
      <c r="AI233" s="312">
        <f t="shared" si="146"/>
        <v>51075</v>
      </c>
      <c r="AJ233" s="91">
        <f t="shared" si="143"/>
        <v>18550569.521270152</v>
      </c>
      <c r="AK233" s="93">
        <f t="shared" si="144"/>
        <v>177010.24127758094</v>
      </c>
      <c r="AL233" s="94">
        <f t="shared" si="145"/>
        <v>25617453.148420695</v>
      </c>
      <c r="AM233" s="247">
        <f t="shared" si="131"/>
        <v>144.72300000003023</v>
      </c>
      <c r="AN233" s="235">
        <f t="shared" si="126"/>
        <v>8.7719298245595712E-3</v>
      </c>
    </row>
    <row r="234" spans="32:40" ht="15" thickBot="1" x14ac:dyDescent="0.4">
      <c r="AF234" s="236">
        <f t="shared" si="141"/>
        <v>228</v>
      </c>
      <c r="AG234" s="272">
        <f t="shared" si="142"/>
        <v>2039</v>
      </c>
      <c r="AH234" s="237" t="s">
        <v>119</v>
      </c>
      <c r="AI234" s="313">
        <f>AI233+30</f>
        <v>51105</v>
      </c>
      <c r="AJ234" s="238">
        <f t="shared" si="143"/>
        <v>18552333.189700488</v>
      </c>
      <c r="AK234" s="239">
        <f t="shared" si="144"/>
        <v>88513.535134457197</v>
      </c>
      <c r="AL234" s="240">
        <f t="shared" si="145"/>
        <v>25619888.690538775</v>
      </c>
      <c r="AM234" s="247">
        <f t="shared" si="131"/>
        <v>289.44600000012065</v>
      </c>
      <c r="AN234" s="235">
        <f t="shared" si="126"/>
        <v>4.385964912278874E-3</v>
      </c>
    </row>
    <row r="235" spans="32:40" ht="15" thickBot="1" x14ac:dyDescent="0.4">
      <c r="AF235" s="230">
        <f>AF234+1</f>
        <v>229</v>
      </c>
      <c r="AG235" s="269">
        <f>AG223+1</f>
        <v>2040</v>
      </c>
      <c r="AH235" s="248" t="s">
        <v>108</v>
      </c>
      <c r="AI235" s="316">
        <v>51136</v>
      </c>
      <c r="AJ235" s="249">
        <f>AL223</f>
        <v>25593097.727239896</v>
      </c>
      <c r="AK235" s="250">
        <v>0</v>
      </c>
      <c r="AL235" s="249">
        <f t="shared" ref="AL235" si="147">AJ235/$L$6*$M$6</f>
        <v>35342849.242378913</v>
      </c>
      <c r="AM235" s="213">
        <f>AM234</f>
        <v>289.44600000012065</v>
      </c>
      <c r="AN235" s="251">
        <f t="shared" si="126"/>
        <v>-1.8231943732516243E-15</v>
      </c>
    </row>
    <row r="236" spans="32:40" x14ac:dyDescent="0.35">
      <c r="AF236" s="230">
        <f t="shared" ref="AF236:AF246" si="148">AF235+1</f>
        <v>230</v>
      </c>
      <c r="AG236" s="269">
        <f>AG235</f>
        <v>2040</v>
      </c>
      <c r="AH236" s="252" t="s">
        <v>109</v>
      </c>
      <c r="AI236" s="252"/>
      <c r="AJ236" s="91"/>
      <c r="AK236" s="253">
        <v>0</v>
      </c>
      <c r="AL236" s="94"/>
      <c r="AM236" s="253" t="s">
        <v>59</v>
      </c>
      <c r="AN236" s="254">
        <f t="shared" ref="AN236:AN245" si="149">AN235</f>
        <v>-1.8231943732516243E-15</v>
      </c>
    </row>
    <row r="237" spans="32:40" x14ac:dyDescent="0.35">
      <c r="AF237" s="230">
        <f t="shared" si="148"/>
        <v>231</v>
      </c>
      <c r="AG237" s="270">
        <f t="shared" ref="AG237:AG246" si="150">AG236</f>
        <v>2040</v>
      </c>
      <c r="AH237" s="252" t="s">
        <v>110</v>
      </c>
      <c r="AI237" s="252"/>
      <c r="AJ237" s="91"/>
      <c r="AK237" s="253">
        <v>0</v>
      </c>
      <c r="AL237" s="94"/>
      <c r="AM237" s="253" t="s">
        <v>59</v>
      </c>
      <c r="AN237" s="254">
        <f t="shared" si="149"/>
        <v>-1.8231943732516243E-15</v>
      </c>
    </row>
    <row r="238" spans="32:40" x14ac:dyDescent="0.35">
      <c r="AF238" s="230">
        <f t="shared" si="148"/>
        <v>232</v>
      </c>
      <c r="AG238" s="270">
        <f t="shared" si="150"/>
        <v>2040</v>
      </c>
      <c r="AH238" s="252" t="s">
        <v>111</v>
      </c>
      <c r="AI238" s="252"/>
      <c r="AJ238" s="91"/>
      <c r="AK238" s="253">
        <v>0</v>
      </c>
      <c r="AL238" s="94"/>
      <c r="AM238" s="253" t="s">
        <v>59</v>
      </c>
      <c r="AN238" s="254">
        <f t="shared" si="149"/>
        <v>-1.8231943732516243E-15</v>
      </c>
    </row>
    <row r="239" spans="32:40" x14ac:dyDescent="0.35">
      <c r="AF239" s="230">
        <f t="shared" si="148"/>
        <v>233</v>
      </c>
      <c r="AG239" s="270">
        <f t="shared" si="150"/>
        <v>2040</v>
      </c>
      <c r="AH239" s="252" t="s">
        <v>112</v>
      </c>
      <c r="AI239" s="252"/>
      <c r="AJ239" s="91"/>
      <c r="AK239" s="253">
        <v>0</v>
      </c>
      <c r="AL239" s="94"/>
      <c r="AM239" s="253" t="s">
        <v>59</v>
      </c>
      <c r="AN239" s="254">
        <f t="shared" si="149"/>
        <v>-1.8231943732516243E-15</v>
      </c>
    </row>
    <row r="240" spans="32:40" x14ac:dyDescent="0.35">
      <c r="AF240" s="230">
        <f t="shared" si="148"/>
        <v>234</v>
      </c>
      <c r="AG240" s="273">
        <f t="shared" si="150"/>
        <v>2040</v>
      </c>
      <c r="AH240" s="252" t="s">
        <v>113</v>
      </c>
      <c r="AI240" s="252"/>
      <c r="AJ240" s="91"/>
      <c r="AK240" s="253">
        <v>0</v>
      </c>
      <c r="AL240" s="94"/>
      <c r="AM240" s="253" t="s">
        <v>59</v>
      </c>
      <c r="AN240" s="254">
        <f t="shared" si="149"/>
        <v>-1.8231943732516243E-15</v>
      </c>
    </row>
    <row r="241" spans="32:40" x14ac:dyDescent="0.35">
      <c r="AF241" s="230">
        <f t="shared" si="148"/>
        <v>235</v>
      </c>
      <c r="AG241" s="270">
        <f t="shared" si="150"/>
        <v>2040</v>
      </c>
      <c r="AH241" s="252" t="s">
        <v>114</v>
      </c>
      <c r="AI241" s="252"/>
      <c r="AJ241" s="91"/>
      <c r="AK241" s="253">
        <v>0</v>
      </c>
      <c r="AL241" s="94"/>
      <c r="AM241" s="253" t="s">
        <v>59</v>
      </c>
      <c r="AN241" s="254">
        <f t="shared" si="149"/>
        <v>-1.8231943732516243E-15</v>
      </c>
    </row>
    <row r="242" spans="32:40" x14ac:dyDescent="0.35">
      <c r="AF242" s="230">
        <f t="shared" si="148"/>
        <v>236</v>
      </c>
      <c r="AG242" s="270">
        <f t="shared" si="150"/>
        <v>2040</v>
      </c>
      <c r="AH242" s="252" t="s">
        <v>115</v>
      </c>
      <c r="AI242" s="252"/>
      <c r="AJ242" s="91"/>
      <c r="AK242" s="253">
        <v>0</v>
      </c>
      <c r="AL242" s="94"/>
      <c r="AM242" s="253" t="s">
        <v>59</v>
      </c>
      <c r="AN242" s="254">
        <f t="shared" si="149"/>
        <v>-1.8231943732516243E-15</v>
      </c>
    </row>
    <row r="243" spans="32:40" x14ac:dyDescent="0.35">
      <c r="AF243" s="230">
        <f t="shared" si="148"/>
        <v>237</v>
      </c>
      <c r="AG243" s="270">
        <f t="shared" si="150"/>
        <v>2040</v>
      </c>
      <c r="AH243" s="252" t="s">
        <v>116</v>
      </c>
      <c r="AI243" s="252"/>
      <c r="AJ243" s="91"/>
      <c r="AK243" s="253">
        <v>0</v>
      </c>
      <c r="AL243" s="94"/>
      <c r="AM243" s="253" t="s">
        <v>59</v>
      </c>
      <c r="AN243" s="254">
        <f t="shared" si="149"/>
        <v>-1.8231943732516243E-15</v>
      </c>
    </row>
    <row r="244" spans="32:40" x14ac:dyDescent="0.35">
      <c r="AF244" s="230">
        <f t="shared" si="148"/>
        <v>238</v>
      </c>
      <c r="AG244" s="270">
        <f t="shared" si="150"/>
        <v>2040</v>
      </c>
      <c r="AH244" s="252" t="s">
        <v>117</v>
      </c>
      <c r="AI244" s="252"/>
      <c r="AJ244" s="91"/>
      <c r="AK244" s="253">
        <v>0</v>
      </c>
      <c r="AL244" s="94"/>
      <c r="AM244" s="253" t="s">
        <v>59</v>
      </c>
      <c r="AN244" s="254">
        <f t="shared" si="149"/>
        <v>-1.8231943732516243E-15</v>
      </c>
    </row>
    <row r="245" spans="32:40" x14ac:dyDescent="0.35">
      <c r="AF245" s="230">
        <f t="shared" si="148"/>
        <v>239</v>
      </c>
      <c r="AG245" s="270">
        <f t="shared" si="150"/>
        <v>2040</v>
      </c>
      <c r="AH245" s="252" t="s">
        <v>118</v>
      </c>
      <c r="AI245" s="252"/>
      <c r="AJ245" s="91"/>
      <c r="AK245" s="253">
        <v>0</v>
      </c>
      <c r="AL245" s="94"/>
      <c r="AM245" s="253" t="s">
        <v>59</v>
      </c>
      <c r="AN245" s="254">
        <f t="shared" si="149"/>
        <v>-1.8231943732516243E-15</v>
      </c>
    </row>
    <row r="246" spans="32:40" ht="15" thickBot="1" x14ac:dyDescent="0.4">
      <c r="AF246" s="255">
        <f t="shared" si="148"/>
        <v>240</v>
      </c>
      <c r="AG246" s="274">
        <f t="shared" si="150"/>
        <v>2040</v>
      </c>
      <c r="AH246" s="256" t="s">
        <v>119</v>
      </c>
      <c r="AI246" s="256"/>
      <c r="AJ246" s="92"/>
      <c r="AK246" s="257">
        <v>0</v>
      </c>
      <c r="AL246" s="95"/>
      <c r="AM246" s="257" t="s">
        <v>59</v>
      </c>
      <c r="AN246" s="258">
        <f>AN245</f>
        <v>-1.8231943732516243E-15</v>
      </c>
    </row>
    <row r="247" spans="32:40" ht="15" thickTop="1" x14ac:dyDescent="0.35"/>
  </sheetData>
  <hyperlinks>
    <hyperlink ref="O63" r:id="rId1" location="sbor" xr:uid="{A278C0DB-0D08-4D9B-A80C-994EED1B7F30}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Schmidt</dc:creator>
  <cp:lastModifiedBy>Alexander Schmidt</cp:lastModifiedBy>
  <dcterms:created xsi:type="dcterms:W3CDTF">2021-02-27T08:47:56Z</dcterms:created>
  <dcterms:modified xsi:type="dcterms:W3CDTF">2021-12-21T12:46:10Z</dcterms:modified>
</cp:coreProperties>
</file>